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C17 ANT REM" sheetId="1" r:id="rId1"/>
    <sheet name="REM17" sheetId="2" r:id="rId2"/>
    <sheet name="SC17 REMED" sheetId="3" r:id="rId3"/>
    <sheet name="REG18 A A" sheetId="4" r:id="rId4"/>
    <sheet name="S. ANT AJ" sheetId="5" r:id="rId5"/>
    <sheet name="REEX PNI" sheetId="6" r:id="rId6"/>
    <sheet name="M CR C" sheetId="7" r:id="rId7"/>
    <sheet name="M DEU C" sheetId="8" r:id="rId8"/>
    <sheet name="R BC C" sheetId="9" r:id="rId9"/>
    <sheet name="R BU C" sheetId="10" r:id="rId10"/>
    <sheet name="R PN C" sheetId="11" r:id="rId11"/>
    <sheet name="R R C" sheetId="12" r:id="rId12"/>
    <sheet name="REG 18 AJ" sheetId="13" r:id="rId13"/>
    <sheet name="MAY" sheetId="14" r:id="rId14"/>
  </sheets>
  <definedNames>
    <definedName name="_xlnm.Print_Area" localSheetId="6">'M CR C'!$A$1:$H$27</definedName>
    <definedName name="_xlnm.Print_Area" localSheetId="7">'M DEU C'!$A$1:$H$26</definedName>
    <definedName name="_xlnm.Print_Area" localSheetId="13">'MAY'!$A$1:$N$113</definedName>
    <definedName name="_xlnm.Print_Area" localSheetId="8">'R BC C'!$A$1:$K$34</definedName>
    <definedName name="_xlnm.Print_Area" localSheetId="9">'R BU C'!$A$1:$M$32</definedName>
    <definedName name="_xlnm.Print_Area" localSheetId="10">'R PN C'!$A$1:$E$54</definedName>
    <definedName name="_xlnm.Print_Area" localSheetId="11">'R R C'!$A$1:$R$50</definedName>
    <definedName name="_xlnm.Print_Area" localSheetId="5">'REEX PNI'!$A$1:$H$24</definedName>
    <definedName name="_xlnm.Print_Area" localSheetId="12">'REG 18 AJ'!$A$1:$F$48</definedName>
    <definedName name="_xlnm.Print_Area" localSheetId="3">'REG18 A A'!$A$1:$D$36</definedName>
    <definedName name="_xlnm.Print_Area" localSheetId="1">'REM17'!$A$1:$H$18</definedName>
    <definedName name="_xlnm.Print_Area" localSheetId="4">'S. ANT AJ'!$A$1:$K$30</definedName>
    <definedName name="_xlnm.Print_Area" localSheetId="0">'SC17 ANT REM'!$A$1:$C$30</definedName>
    <definedName name="_xlnm.Print_Area" localSheetId="2">'SC17 REMED'!$A$1:$G$30</definedName>
  </definedNames>
  <calcPr fullCalcOnLoad="1"/>
</workbook>
</file>

<file path=xl/comments3.xml><?xml version="1.0" encoding="utf-8"?>
<comments xmlns="http://schemas.openxmlformats.org/spreadsheetml/2006/main">
  <authors>
    <author>FERNANDO CASALS</author>
  </authors>
  <commentList>
    <comment ref="B10" authorId="0">
      <text>
        <r>
          <rPr>
            <b/>
            <sz val="8"/>
            <rFont val="Tahoma"/>
            <family val="2"/>
          </rPr>
          <t>ANTES DE REMEDICIÓN  $ 56.000</t>
        </r>
      </text>
    </comment>
    <comment ref="B11" authorId="0">
      <text>
        <r>
          <rPr>
            <b/>
            <sz val="8"/>
            <rFont val="Tahoma"/>
            <family val="2"/>
          </rPr>
          <t>ANTES DE REMEDICIÓN $ 250.000</t>
        </r>
      </text>
    </comment>
    <comment ref="C12" authorId="0">
      <text>
        <r>
          <rPr>
            <b/>
            <sz val="8"/>
            <rFont val="Tahoma"/>
            <family val="2"/>
          </rPr>
          <t>ANTES DE REMEDICIÓN $ 75.000</t>
        </r>
      </text>
    </comment>
    <comment ref="B13" authorId="0">
      <text>
        <r>
          <rPr>
            <b/>
            <sz val="8"/>
            <rFont val="Tahoma"/>
            <family val="2"/>
          </rPr>
          <t>ANTES DE REMEDICIÓN  $ 200.000</t>
        </r>
      </text>
    </comment>
    <comment ref="C14" authorId="0">
      <text>
        <r>
          <rPr>
            <b/>
            <sz val="8"/>
            <rFont val="Tahoma"/>
            <family val="2"/>
          </rPr>
          <t>ANTES DE REMEDICIÓN $ 200,000</t>
        </r>
      </text>
    </comment>
    <comment ref="C19" authorId="0">
      <text>
        <r>
          <rPr>
            <b/>
            <sz val="8"/>
            <rFont val="Tahoma"/>
            <family val="2"/>
          </rPr>
          <t>ANTES DE REMEDICIÓN  $ 0</t>
        </r>
      </text>
    </comment>
    <comment ref="B4" authorId="0">
      <text>
        <r>
          <rPr>
            <b/>
            <sz val="9"/>
            <rFont val="Tahoma"/>
            <family val="2"/>
          </rPr>
          <t>ACTIVOS EXPREADOS EN MONEDA DE PODER ADQUISITIVODEL 31/12/17.
EL PN TIENE ACTUALIZACION PARCIAL CONSECUENCIA DE LA REMEDICION RT48</t>
        </r>
      </text>
    </comment>
    <comment ref="C20" authorId="0">
      <text>
        <r>
          <rPr>
            <b/>
            <sz val="8"/>
            <rFont val="Tahoma"/>
            <family val="2"/>
          </rPr>
          <t>UNA VEZ REFUNDIDAS CUENTAS DE RESULTADOS EL SALDO ES $214.500</t>
        </r>
      </text>
    </comment>
  </commentList>
</comments>
</file>

<file path=xl/comments4.xml><?xml version="1.0" encoding="utf-8"?>
<comments xmlns="http://schemas.openxmlformats.org/spreadsheetml/2006/main">
  <authors>
    <author>FERNANDO CASALS</author>
  </authors>
  <commentList>
    <comment ref="A5" authorId="0">
      <text>
        <r>
          <rPr>
            <b/>
            <sz val="7"/>
            <rFont val="Tahoma"/>
            <family val="2"/>
          </rPr>
          <t>TENER EN CUENTA QUE ESTA REGISTRACION TIENE AiRi, PiRi PERO NO INCLUYE AxI INTEGRAL AL INICIO DEL PNi</t>
        </r>
      </text>
    </comment>
  </commentList>
</comments>
</file>

<file path=xl/comments5.xml><?xml version="1.0" encoding="utf-8"?>
<comments xmlns="http://schemas.openxmlformats.org/spreadsheetml/2006/main">
  <authors>
    <author>FERNANDO CASALS</author>
  </authors>
  <commentList>
    <comment ref="A2" authorId="0">
      <text>
        <r>
          <rPr>
            <b/>
            <sz val="8"/>
            <rFont val="Tahoma"/>
            <family val="2"/>
          </rPr>
          <t>LOS DATOS DE ESTA PLANILLA TAMBIEN LOS ENCONTRARAN EN LOS MAYORES QUE SE MUESTRAN AL FINAL</t>
        </r>
      </text>
    </comment>
  </commentList>
</comments>
</file>

<file path=xl/comments6.xml><?xml version="1.0" encoding="utf-8"?>
<comments xmlns="http://schemas.openxmlformats.org/spreadsheetml/2006/main">
  <authors>
    <author>FERNANDO CASALS</author>
  </authors>
  <commentList>
    <comment ref="D14" authorId="0">
      <text>
        <r>
          <rPr>
            <b/>
            <sz val="8"/>
            <rFont val="Tahoma"/>
            <family val="2"/>
          </rPr>
          <t>SOLO AL INICIO DE RETOMAR EL AxI NO SE REEXPRESA.</t>
        </r>
      </text>
    </comment>
    <comment ref="E13" authorId="0">
      <text>
        <r>
          <rPr>
            <b/>
            <sz val="8"/>
            <rFont val="Tahoma"/>
            <family val="2"/>
          </rPr>
          <t>SE ANULA Y TRANSFIERE A RNA POR APLICACIÓN APARTADO 4.1 GUÍA DE APLICACIÓN DE LAS NORMAS CONTABLES SOBRE AJUSTE POR INFLACIÓN (RT 6 Y NIC 29). CUARTA PARTE</t>
        </r>
      </text>
    </comment>
    <comment ref="B23" authorId="0">
      <text>
        <r>
          <rPr>
            <b/>
            <sz val="9"/>
            <rFont val="Tahoma"/>
            <family val="0"/>
          </rPr>
          <t>PARA DEJARLO EN 0 Y TRANSFERIRLO A RNA</t>
        </r>
      </text>
    </comment>
  </commentList>
</comments>
</file>

<file path=xl/comments7.xml><?xml version="1.0" encoding="utf-8"?>
<comments xmlns="http://schemas.openxmlformats.org/spreadsheetml/2006/main">
  <authors>
    <author>FERNANDO CASALS</author>
    <author>FC</author>
  </authors>
  <commentList>
    <comment ref="E22" authorId="0">
      <text>
        <r>
          <rPr>
            <b/>
            <sz val="8"/>
            <rFont val="Tahoma"/>
            <family val="2"/>
          </rPr>
          <t>SALDO DE LA CUENTA Y SU REGULARIZADORA</t>
        </r>
      </text>
    </comment>
    <comment ref="E23" authorId="1">
      <text>
        <r>
          <rPr>
            <b/>
            <sz val="8"/>
            <rFont val="Tahoma"/>
            <family val="2"/>
          </rPr>
          <t>SE CORRIJE EN INTERESES A DEVENGAR CONTRA RFT</t>
        </r>
      </text>
    </comment>
  </commentList>
</comments>
</file>

<file path=xl/comments8.xml><?xml version="1.0" encoding="utf-8"?>
<comments xmlns="http://schemas.openxmlformats.org/spreadsheetml/2006/main">
  <authors>
    <author>FC</author>
    <author>FERNANDO CASALS</author>
  </authors>
  <commentList>
    <comment ref="E23" authorId="0">
      <text>
        <r>
          <rPr>
            <b/>
            <sz val="8"/>
            <rFont val="Tahoma"/>
            <family val="2"/>
          </rPr>
          <t>SE CORRIJE EN INTERESES A DEVENGAR CONTRA RFT</t>
        </r>
      </text>
    </comment>
    <comment ref="E22" authorId="1">
      <text>
        <r>
          <rPr>
            <b/>
            <sz val="8"/>
            <rFont val="Tahoma"/>
            <family val="2"/>
          </rPr>
          <t>SALDO DE LA CUENTA Y SU REGULARIZADORA</t>
        </r>
      </text>
    </comment>
  </commentList>
</comments>
</file>

<file path=xl/comments9.xml><?xml version="1.0" encoding="utf-8"?>
<comments xmlns="http://schemas.openxmlformats.org/spreadsheetml/2006/main">
  <authors>
    <author>FERNANDO CASALS</author>
  </authors>
  <commentList>
    <comment ref="G32" authorId="0">
      <text>
        <r>
          <rPr>
            <b/>
            <sz val="9"/>
            <rFont val="Tahoma"/>
            <family val="2"/>
          </rPr>
          <t>$27.615,77 ACTUALIZACION Y $4.384,23 DE RT</t>
        </r>
      </text>
    </comment>
    <comment ref="H25" authorId="0">
      <text>
        <r>
          <rPr>
            <b/>
            <sz val="9"/>
            <rFont val="Tahoma"/>
            <family val="2"/>
          </rPr>
          <t>INVENTARIO FISICO AL CIERRE MEDIDO A VALORES CORRIENTES</t>
        </r>
      </text>
    </comment>
  </commentList>
</comments>
</file>

<file path=xl/sharedStrings.xml><?xml version="1.0" encoding="utf-8"?>
<sst xmlns="http://schemas.openxmlformats.org/spreadsheetml/2006/main" count="693" uniqueCount="274">
  <si>
    <t>D</t>
  </si>
  <si>
    <t>H</t>
  </si>
  <si>
    <t>Caja</t>
  </si>
  <si>
    <t>Bco. Santander C.C.</t>
  </si>
  <si>
    <t>Deudores por ventas</t>
  </si>
  <si>
    <t>Mercaderías</t>
  </si>
  <si>
    <t>Rodados</t>
  </si>
  <si>
    <t>Amortización acumulada Rodados</t>
  </si>
  <si>
    <t>Muebles y Utilies</t>
  </si>
  <si>
    <t>Amortización acumulada M y U</t>
  </si>
  <si>
    <t>Proveedores</t>
  </si>
  <si>
    <t>Capital Suscripto</t>
  </si>
  <si>
    <t>Reserva Legal</t>
  </si>
  <si>
    <t>Resultados no asignados</t>
  </si>
  <si>
    <t>Ventas</t>
  </si>
  <si>
    <t>Costo de Ventas</t>
  </si>
  <si>
    <t>Amortización Rodados</t>
  </si>
  <si>
    <t>Amortización Muebles y utiles</t>
  </si>
  <si>
    <t>Honorarios</t>
  </si>
  <si>
    <t>Fletes Mercaderías remitidas</t>
  </si>
  <si>
    <t>TOTALES</t>
  </si>
  <si>
    <t>EL REGRESO SRL</t>
  </si>
  <si>
    <t>Saldo de Remedición RT 48.</t>
  </si>
  <si>
    <t>SALDOS INICIALES REMEDIDOS RT 48</t>
  </si>
  <si>
    <t>SALDOS CIERRE ANT SIN REMED</t>
  </si>
  <si>
    <t>MERCADERIAS</t>
  </si>
  <si>
    <t>A SALDO DE REMEDICION RT 48</t>
  </si>
  <si>
    <t>MUEBLES Y UTILES</t>
  </si>
  <si>
    <t>RODADOS</t>
  </si>
  <si>
    <t>a AMORT. ACUM. MUEBLES Y UTILES</t>
  </si>
  <si>
    <t>a AMORT. ACUM. RODADOS</t>
  </si>
  <si>
    <t>a SALDO DE REMEDICION RT 48</t>
  </si>
  <si>
    <t>REGISTRACIONES REMEDICION al 31/12/17</t>
  </si>
  <si>
    <t>EJERCICIO N. 6 INICIADO EL 01/01/17 Y FINALIZADO EL 31/12/17</t>
  </si>
  <si>
    <t>REGISTRACION DE APERTURA</t>
  </si>
  <si>
    <t>REGISTRACIONES EJERCICIO N. 7 INICIADO EL 01/01/18 Y FINALIZADO EL 31/12/18</t>
  </si>
  <si>
    <t>Intereses s/activos a devengar</t>
  </si>
  <si>
    <t>intereses s/pasivos a devengar</t>
  </si>
  <si>
    <t>Mercaderias</t>
  </si>
  <si>
    <t>Dividendos a pagar en efectivo</t>
  </si>
  <si>
    <t>CIERRE ANTERIOR/REG APERT</t>
  </si>
  <si>
    <r>
      <t>Capital Suscripto (</t>
    </r>
    <r>
      <rPr>
        <b/>
        <i/>
        <sz val="9"/>
        <color indexed="8"/>
        <rFont val="Arial"/>
        <family val="2"/>
      </rPr>
      <t>SUSCRIPTO E INTEGRADO 10/01/2012</t>
    </r>
  </si>
  <si>
    <t>S. NOMIN ANTES AJUST CIERRE</t>
  </si>
  <si>
    <t>CUENTA</t>
  </si>
  <si>
    <t>MON. ORIGEN</t>
  </si>
  <si>
    <t>COEFIC</t>
  </si>
  <si>
    <t>IMPORTE NOMINAL</t>
  </si>
  <si>
    <t>DIFERENCIA</t>
  </si>
  <si>
    <t>Saldo de Remedición RT 48</t>
  </si>
  <si>
    <t>Reserva legal</t>
  </si>
  <si>
    <t>PASIVO REEXPRESADO</t>
  </si>
  <si>
    <t>P.N. TOTAL REEXPRESADO</t>
  </si>
  <si>
    <t>ACTIVO REEXPRESADO</t>
  </si>
  <si>
    <t>NO SE REEXPR</t>
  </si>
  <si>
    <t>IMPORTE REEXPRESADO AL 31/12/17</t>
  </si>
  <si>
    <t>P.N. REEXPRESADO SIN RES NO ASIG</t>
  </si>
  <si>
    <t>RESULTADOS NO ASIGNADOS</t>
  </si>
  <si>
    <t>RESULTADOS NO ASIGNADOS REEXPRESADO</t>
  </si>
  <si>
    <t>AJUSTE DEL CAPITAL</t>
  </si>
  <si>
    <t>REGISTRACION EN MONEDA DE INICIO (EN REALIDAD DEL 31/12/17).</t>
  </si>
  <si>
    <t>REF</t>
  </si>
  <si>
    <t>IMPORTE</t>
  </si>
  <si>
    <t>SI</t>
  </si>
  <si>
    <t>DETERMINACION DE VALOR ACTUAL Y LOS INTERESES CONTENIDOS EN EL VALOR AL CIERRE</t>
  </si>
  <si>
    <t>CUENTAS POR COBRAR</t>
  </si>
  <si>
    <t>FECHA CIERRE (DD-MM-AA) .......</t>
  </si>
  <si>
    <t>CTA.</t>
  </si>
  <si>
    <t>VALOR</t>
  </si>
  <si>
    <t>F.DE VENC.</t>
  </si>
  <si>
    <t>DIAS PARA</t>
  </si>
  <si>
    <t xml:space="preserve">VALOR </t>
  </si>
  <si>
    <t>INT%</t>
  </si>
  <si>
    <t>INT. A DEDUC.</t>
  </si>
  <si>
    <t>N.</t>
  </si>
  <si>
    <t>NOMINAL</t>
  </si>
  <si>
    <t>DD-MM-AA</t>
  </si>
  <si>
    <t>VENCER</t>
  </si>
  <si>
    <t>FUTURO</t>
  </si>
  <si>
    <t>MENS.</t>
  </si>
  <si>
    <t>ACTUAL</t>
  </si>
  <si>
    <t>DEL VAL.FUT</t>
  </si>
  <si>
    <t>T</t>
  </si>
  <si>
    <t>VARIACION EN INT. A DEV. A REG.</t>
  </si>
  <si>
    <t>BIENES DE CAMBIO Y COSTO MERCADERIAS VENDIDAS</t>
  </si>
  <si>
    <t>CUENTA: MERCADERIAS</t>
  </si>
  <si>
    <t>CUENTA: COSTO MERCADERIAS VENDIDAS</t>
  </si>
  <si>
    <t>MES</t>
  </si>
  <si>
    <t>AJUSTADO</t>
  </si>
  <si>
    <t>TOTAL</t>
  </si>
  <si>
    <t>E.F. MEDIDA A VAL. CORRIENTES DE CIERRE</t>
  </si>
  <si>
    <t>SALIDAS(CV) A VAL. CORRIENTES MOMENTO DE CADA VENTA</t>
  </si>
  <si>
    <t>E.I. A VALORES CORRIENTE CIERRE ANTERIOR</t>
  </si>
  <si>
    <t>COMPRAS A VALORES MOMENTO CADA COMPRA</t>
  </si>
  <si>
    <t>RESULTADO POR TENENCIA BIENES DE CAMBIO</t>
  </si>
  <si>
    <t>COSTO MERCADERIAS VENDIDAS</t>
  </si>
  <si>
    <t>A  RFT</t>
  </si>
  <si>
    <t>S.I.</t>
  </si>
  <si>
    <t xml:space="preserve"> ACTUALIZACION BIENES DE USO AL </t>
  </si>
  <si>
    <t>BIENES.</t>
  </si>
  <si>
    <t>FECHA DE</t>
  </si>
  <si>
    <t>VIDA UTIL AL INIC.</t>
  </si>
  <si>
    <t>VALOR DE</t>
  </si>
  <si>
    <t>AMOT. ACUM.</t>
  </si>
  <si>
    <t>COEFIC.</t>
  </si>
  <si>
    <t xml:space="preserve">A C T U A L I Z A C I O N </t>
  </si>
  <si>
    <t>AMORT.DEL</t>
  </si>
  <si>
    <t>VAL. RESID</t>
  </si>
  <si>
    <t>ORIGEN</t>
  </si>
  <si>
    <t>TOT.</t>
  </si>
  <si>
    <t>TRAN</t>
  </si>
  <si>
    <t>REST</t>
  </si>
  <si>
    <t>MON.ORIGEN</t>
  </si>
  <si>
    <t>COSTO</t>
  </si>
  <si>
    <t>AMORTIZ.</t>
  </si>
  <si>
    <t>V.RESIDUAL</t>
  </si>
  <si>
    <t>EJERC.</t>
  </si>
  <si>
    <t>ACTUALIZADO</t>
  </si>
  <si>
    <t>MUEB.Y UTILES</t>
  </si>
  <si>
    <t>VAL.CONT.</t>
  </si>
  <si>
    <t>AM.AC.CONT.</t>
  </si>
  <si>
    <t>V. ACTUALIZ</t>
  </si>
  <si>
    <t>A.A.INIC. AJ.</t>
  </si>
  <si>
    <t>AM.AJUS.DEL EJ</t>
  </si>
  <si>
    <t xml:space="preserve"> </t>
  </si>
  <si>
    <t xml:space="preserve">  A A.A. MUEBLES Y UTILES</t>
  </si>
  <si>
    <t xml:space="preserve">  A A.A. RODADOS</t>
  </si>
  <si>
    <t xml:space="preserve">  A R.F.T.</t>
  </si>
  <si>
    <t>Por reexp. en moneda de cierre</t>
  </si>
  <si>
    <t>AMORT. M.Y UTILES</t>
  </si>
  <si>
    <t>AMORT. RODADOS</t>
  </si>
  <si>
    <t>Por act. Por C.P.A.M.</t>
  </si>
  <si>
    <t>CUENTAS POR PAGAR</t>
  </si>
  <si>
    <t>ACTUALIZACION DEL PATRIMONIO NETO</t>
  </si>
  <si>
    <r>
      <t>I-Aporte de los Propietarios.</t>
    </r>
    <r>
      <rPr>
        <b/>
        <sz val="11"/>
        <color indexed="10"/>
        <rFont val="Arial"/>
        <family val="2"/>
      </rPr>
      <t xml:space="preserve"> </t>
    </r>
  </si>
  <si>
    <t xml:space="preserve">I.1. CAPITAL SUSCRIPTO </t>
  </si>
  <si>
    <t xml:space="preserve">1.- Al inicio reexpr. al cierre:  </t>
  </si>
  <si>
    <t xml:space="preserve">     Capital Suscripto                         </t>
  </si>
  <si>
    <t xml:space="preserve">    Ajuste del Capital                            </t>
  </si>
  <si>
    <t xml:space="preserve">2.- Variaciones producidas en el ejercicio. </t>
  </si>
  <si>
    <t xml:space="preserve">Más: </t>
  </si>
  <si>
    <t xml:space="preserve">     Aumento de Capital (reexp. desde fecha de aumento)    </t>
  </si>
  <si>
    <t xml:space="preserve">     Capitalización de Utilidades (reexp. por coef . anual.)  </t>
  </si>
  <si>
    <t xml:space="preserve">3.- Aportes de los Propietarios al inicio +/ - variaciones producidas en el ejercicio reexp. al cierre   </t>
  </si>
  <si>
    <t xml:space="preserve">4.- Aportes de los Propietarios contabilizados al cierre: </t>
  </si>
  <si>
    <t xml:space="preserve">    Capital Suscripto                           </t>
  </si>
  <si>
    <t xml:space="preserve">    Ajuste del Capital       </t>
  </si>
  <si>
    <r>
      <t xml:space="preserve">5.- Diferencia a contabilizar en “Ajuste del capital”         </t>
    </r>
    <r>
      <rPr>
        <sz val="11"/>
        <rFont val="Arial"/>
        <family val="2"/>
      </rPr>
      <t xml:space="preserve"> </t>
    </r>
  </si>
  <si>
    <r>
      <t xml:space="preserve">II- Ganancias reservadas. </t>
    </r>
    <r>
      <rPr>
        <b/>
        <sz val="11"/>
        <color indexed="10"/>
        <rFont val="Arial"/>
        <family val="2"/>
      </rPr>
      <t xml:space="preserve"> </t>
    </r>
  </si>
  <si>
    <t xml:space="preserve">  </t>
  </si>
  <si>
    <t xml:space="preserve">1.- Reserva legal al inicio reexpresada al cierre </t>
  </si>
  <si>
    <t xml:space="preserve">2.- Variaciones: </t>
  </si>
  <si>
    <t xml:space="preserve">     Más: incrementos (reexpr. por coef. anual)            </t>
  </si>
  <si>
    <t xml:space="preserve">     Menos: disminuciones (reexpr. por coefic. anual) </t>
  </si>
  <si>
    <t xml:space="preserve">3.- Reserva legal reexpr. al cierre           </t>
  </si>
  <si>
    <t>4.- Reserva legal contabilizada al cierr</t>
  </si>
  <si>
    <t>5.- Diferencia a contabilizar en  Reserva</t>
  </si>
  <si>
    <r>
      <t>III- Resultados No Asignados.</t>
    </r>
    <r>
      <rPr>
        <b/>
        <sz val="11"/>
        <color indexed="10"/>
        <rFont val="Arial"/>
        <family val="2"/>
      </rPr>
      <t xml:space="preserve"> </t>
    </r>
  </si>
  <si>
    <t xml:space="preserve">1.- Al inicio reexpresado al cierre: </t>
  </si>
  <si>
    <t xml:space="preserve">2.- Variaciones: (excepto imputables a resultados del ejerc.) </t>
  </si>
  <si>
    <t xml:space="preserve">Menos: Asignación de Res.(reexp. por coef anual)            </t>
  </si>
  <si>
    <t xml:space="preserve">Más: Desafectación de Reservas (reexp. por coef. anual)   </t>
  </si>
  <si>
    <t>3.- Resultados no Asignados (excepto los del ejerc.) reexp. al cierre</t>
  </si>
  <si>
    <t>4.- Resultados no Asignados (excepto los del ejerc.) contab. al cierre</t>
  </si>
  <si>
    <t xml:space="preserve">5.- I Diferencia a contabilizar en Resultados no Asignados </t>
  </si>
  <si>
    <t>R.F.T.</t>
  </si>
  <si>
    <t xml:space="preserve">  A AJUSTE DEL CAPITAL</t>
  </si>
  <si>
    <t xml:space="preserve">  A RESERVA LEGAL</t>
  </si>
  <si>
    <t xml:space="preserve">  A RESULTADOS NO ASIGNADOS</t>
  </si>
  <si>
    <t>HONORARIOS</t>
  </si>
  <si>
    <t>RFT</t>
  </si>
  <si>
    <t>Intereses s/pasivos a devengar</t>
  </si>
  <si>
    <t>Ajuste del Capital</t>
  </si>
  <si>
    <t>P.A. 12-17</t>
  </si>
  <si>
    <t>Intereses cedidos</t>
  </si>
  <si>
    <t>MEDICION AL CIERRE</t>
  </si>
  <si>
    <t>MEDICION CONTABILIZADA AL C.  (27000-3000)</t>
  </si>
  <si>
    <t>Id18/Id17</t>
  </si>
  <si>
    <t>Id18/Ie18</t>
  </si>
  <si>
    <t>Id18/If18</t>
  </si>
  <si>
    <t>Id18/Im18</t>
  </si>
  <si>
    <t>Id18/Ia18</t>
  </si>
  <si>
    <t>Id18/Ij18</t>
  </si>
  <si>
    <t>Id18/Is18</t>
  </si>
  <si>
    <t>Id18/Io18</t>
  </si>
  <si>
    <t>Id18/In18</t>
  </si>
  <si>
    <t>Id18/Id18</t>
  </si>
  <si>
    <t xml:space="preserve"> 184,2552/124,7956</t>
  </si>
  <si>
    <t xml:space="preserve"> 184,2552/126,9887</t>
  </si>
  <si>
    <t xml:space="preserve"> 184,2552/130,0606</t>
  </si>
  <si>
    <t xml:space="preserve"> 184,2552/133,1054</t>
  </si>
  <si>
    <t xml:space="preserve"> 184,2552/136,7512</t>
  </si>
  <si>
    <t xml:space="preserve"> 184,2552/139,5893</t>
  </si>
  <si>
    <t xml:space="preserve"> 184,2552/144,8053</t>
  </si>
  <si>
    <t xml:space="preserve"> 184,2552/149,2966</t>
  </si>
  <si>
    <t xml:space="preserve"> 184,2552/155,1034</t>
  </si>
  <si>
    <t xml:space="preserve"> 184,2552/165,2383</t>
  </si>
  <si>
    <t xml:space="preserve"> 184,2552/174,1473</t>
  </si>
  <si>
    <t xml:space="preserve"> 184,2552/179,6388</t>
  </si>
  <si>
    <t xml:space="preserve"> 184,2552/184,2552</t>
  </si>
  <si>
    <t>DEBE</t>
  </si>
  <si>
    <t>HABER</t>
  </si>
  <si>
    <t>SALDOS</t>
  </si>
  <si>
    <t>ACTUALIZACION</t>
  </si>
  <si>
    <t>NOMINAL DEBE</t>
  </si>
  <si>
    <t>CUENTAS DE RESULTADO EXCEPTO RFT Y RESULTADOS YA AJUSTADOS EN OTROS PAPELES DE TRABAJO</t>
  </si>
  <si>
    <t>VENTAS</t>
  </si>
  <si>
    <t>FLETES MERCADERIAS REMITIDAS</t>
  </si>
  <si>
    <t xml:space="preserve"> …………….</t>
  </si>
  <si>
    <t>CUENTA: Deudores por ventas y su regularizadora</t>
  </si>
  <si>
    <t>CUENTA: Poveedores y su regularizadora</t>
  </si>
  <si>
    <t>MEDICION CONTABILIZADA (38000-3000)</t>
  </si>
  <si>
    <t>II- Saldo de Remedición RT 48</t>
  </si>
  <si>
    <t xml:space="preserve">3.- Saldo Remedicion RT 48  reexpresado al cierre </t>
  </si>
  <si>
    <t xml:space="preserve">1.- Saldo Remedicion RT 48 al inicio reexpresado al cierre </t>
  </si>
  <si>
    <t>4.- Saldo Remedicion RT 48  contabilizado al cierr</t>
  </si>
  <si>
    <t>31-12-18 REG MEDICION Y REEXPESION</t>
  </si>
  <si>
    <t>AJUSTE POR MEDICION DE CREDITOS AL 31-12-18</t>
  </si>
  <si>
    <t>AJUSTE POR MEDICION DE DEUDAS AL 31-12-18</t>
  </si>
  <si>
    <t>AJUSTE POR REEXPRESION Y MEDICION MERCADERIAS AL 31-12-18</t>
  </si>
  <si>
    <t>AJUSTE POR REEXPRESION COSTO DE VENTAS AL 31-12-18</t>
  </si>
  <si>
    <t>AJUSTE POR REEXPRESION BIENES DE USO AL 31-12-18</t>
  </si>
  <si>
    <t>AJUSTE DETERMINACION AMORT DEL EJERC EN MON DE CIERRE 31/12/18</t>
  </si>
  <si>
    <t xml:space="preserve"> Muebles y Utilies </t>
  </si>
  <si>
    <t xml:space="preserve"> Rodados </t>
  </si>
  <si>
    <t xml:space="preserve"> Amortización acumulada M y U </t>
  </si>
  <si>
    <t xml:space="preserve"> Amortización acumulada Rodados </t>
  </si>
  <si>
    <t xml:space="preserve"> Amortización Muebles y utiles </t>
  </si>
  <si>
    <t xml:space="preserve"> Reserva Legal </t>
  </si>
  <si>
    <t xml:space="preserve">  A SALDO REMEDICION RT 48</t>
  </si>
  <si>
    <t xml:space="preserve"> Saldo de Remedición RT 48. </t>
  </si>
  <si>
    <t xml:space="preserve"> Resultados no asignados </t>
  </si>
  <si>
    <t xml:space="preserve">  Ajuste del capital</t>
  </si>
  <si>
    <t>AJUSTE POR REEXPRESION DEL PN AL 31-12-18</t>
  </si>
  <si>
    <t>AJUSTE POR REEXPRESION DEL OTRAS CTAS DE RESULT AL 31-12-18</t>
  </si>
  <si>
    <t>REEXPRESION P.N. AL INICIO (A MONEDA CIERRE ANTER)</t>
  </si>
  <si>
    <t>SOLO EN ESTA OPORTUNIDAD Y EN MONEDA DE CIERRE ANTERIOR POR SER REINICIO DE AJUSTE POR INFLACION</t>
  </si>
  <si>
    <t>MAYORES EJERCICIO N. 7 INICIADO EL 01/01/18 Y FINALIZADO EL 31/12/18. EL REGRESO SRL</t>
  </si>
  <si>
    <t>12c</t>
  </si>
  <si>
    <t>SALDOS AL 31/12/18 EN MONEDA DE CIERRE</t>
  </si>
  <si>
    <t>DETERMINACION DEL PN AL INICIO (CIERRE ANTERIOR) REEXPREADO A ESA FECHA. CALCULADO: ACTIVO R - PASIVO R.</t>
  </si>
  <si>
    <t>5.- Diferencia a contabilizar en  Saldo Remedición RT 48</t>
  </si>
  <si>
    <t xml:space="preserve">MEDICION ACTUAL </t>
  </si>
  <si>
    <r>
      <t xml:space="preserve">AJUSTE DEL PATRIMONIO NETO </t>
    </r>
    <r>
      <rPr>
        <b/>
        <sz val="14"/>
        <rFont val="Calibri"/>
        <family val="2"/>
      </rPr>
      <t>AL INICIO DEL PRIMER EJERCICIO</t>
    </r>
    <r>
      <rPr>
        <b/>
        <sz val="11"/>
        <rFont val="Calibri"/>
        <family val="2"/>
      </rPr>
      <t xml:space="preserve"> (CIERRE EJERCICIO ANTERIOR)</t>
    </r>
  </si>
  <si>
    <t>P.N. REEXPRESADO SIN RES NO ASIGN.</t>
  </si>
  <si>
    <t>Distribuc. en efectivo o en especie (abril/18)</t>
  </si>
  <si>
    <t>SALDOS AL CIERRE EJERCICIO ANTERIOR ANTES DE REMEDICION RT 48</t>
  </si>
  <si>
    <r>
      <t xml:space="preserve">POSTERIOR A ESTA REGISTRACIÓN, </t>
    </r>
    <r>
      <rPr>
        <b/>
        <sz val="11"/>
        <color indexed="8"/>
        <rFont val="Calibri"/>
        <family val="2"/>
      </rPr>
      <t>SI SE EFECTUO AL CIERRE DEL EJERCICIO QUE CORRESPONDIO LA REMEDICION</t>
    </r>
    <r>
      <rPr>
        <sz val="11"/>
        <color theme="1"/>
        <rFont val="Calibri"/>
        <family val="2"/>
      </rPr>
      <t>, VA REFUNDICION CUENTAS DE RESULTADO Y CIERRE CUENTAS PATRIMONIALES</t>
    </r>
  </si>
  <si>
    <t>LA REMEDICION DE LA RT 48 NO AFECTA RESULTADOS DEL EJERCICIO DE LA REMEDICION RT 48.</t>
  </si>
  <si>
    <t>SALDOS AL CIERRE DEL EJERCICIO ANTERIOR (INICIO DEL EJ. 7) - REMEDIDOS RT 48-</t>
  </si>
  <si>
    <t>AiRi</t>
  </si>
  <si>
    <t>LA REMEDICION NO INCIDIO EN EL RESULTADO DE $ 6.500</t>
  </si>
  <si>
    <t>ANTES DE APLICAR AJUSTE POR INFLACION</t>
  </si>
  <si>
    <t>OJO POD.ADQ. 31/12/17</t>
  </si>
  <si>
    <t>AJUSTE POR INFLACION Y MEDICION</t>
  </si>
  <si>
    <t>ACTUALIZACION RESULTADOS</t>
  </si>
  <si>
    <t>REGISTRACIONES EN EL L. DIARIO DE LAS QUE SURGEN DE LAS HOJAS DE TRABAJO.</t>
  </si>
  <si>
    <t>ACTUALIZACION OTROS RESULTADOS</t>
  </si>
  <si>
    <r>
      <t xml:space="preserve">SI ESTA REGISTRACIÓN </t>
    </r>
    <r>
      <rPr>
        <b/>
        <sz val="11"/>
        <color indexed="8"/>
        <rFont val="Calibri"/>
        <family val="2"/>
      </rPr>
      <t>SE EFECTUO RETROACTIVA, EN EL EJERCICIO SIGUIENTE AL QUE CORRESPONDIA LA REMEDICION</t>
    </r>
    <r>
      <rPr>
        <sz val="11"/>
        <color theme="1"/>
        <rFont val="Calibri"/>
        <family val="2"/>
      </rPr>
      <t>, TENER EN CUENTA QUE MODIFICA LOS SALDOS AL CIERRE DEL EJERCICIO ANTERIOR.</t>
    </r>
  </si>
  <si>
    <r>
      <rPr>
        <b/>
        <sz val="10"/>
        <color indexed="10"/>
        <rFont val="Arial"/>
        <family val="2"/>
      </rPr>
      <t>SALDOS ANTES DE AJUSTES</t>
    </r>
    <r>
      <rPr>
        <b/>
        <sz val="10"/>
        <color indexed="8"/>
        <rFont val="Arial"/>
        <family val="2"/>
      </rPr>
      <t xml:space="preserve"> EJERCICIO N. 7 INICIADO EL 01/01/18 Y FINALIZADO EL 31/12/18</t>
    </r>
  </si>
  <si>
    <t>EI</t>
  </si>
  <si>
    <t>C</t>
  </si>
  <si>
    <t>RT</t>
  </si>
  <si>
    <t>EF</t>
  </si>
  <si>
    <t>CV a Val Corr</t>
  </si>
  <si>
    <t>COMPROBAC C.V.</t>
  </si>
  <si>
    <t>SALDO REMEDICION RT48</t>
  </si>
  <si>
    <t>SALDO REMEDICIÓN RT 48</t>
  </si>
  <si>
    <t>SALDO AL INICIO EN MONEDA DE CIERRE</t>
  </si>
  <si>
    <t>MENOS RECLASIFICACION SALDO AL INICIO A RNA</t>
  </si>
  <si>
    <t xml:space="preserve">     Menos: disminuciones ………</t>
  </si>
  <si>
    <t>SUBTOTAL</t>
  </si>
  <si>
    <t>ABSORCION ACTUALIZACION CUENTAS DE PN AL INICIO</t>
  </si>
  <si>
    <t>SALDO AL MODIFICADO AL INICIO EN MONEDA DE CIERRE</t>
  </si>
  <si>
    <t>MAS MODIF.  RECLASIFICACION SALDO AL INICIO A RNA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</si>
</sst>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d\-m\-yyyy"/>
    <numFmt numFmtId="167" formatCode="#,##0.00_);\(#,##0.00\)"/>
    <numFmt numFmtId="168" formatCode="_ * #,##0_ ;_ * \-#,##0_ ;_ * &quot;-&quot;??_ ;_ @_ "/>
    <numFmt numFmtId="169" formatCode="#,###.00;\(#,###.00\)"/>
    <numFmt numFmtId="170" formatCode="dd\-mm\-yy"/>
    <numFmt numFmtId="171" formatCode="0.0000_)"/>
    <numFmt numFmtId="172" formatCode="0.00_)"/>
    <numFmt numFmtId="173" formatCode="0_)"/>
    <numFmt numFmtId="174" formatCode="0.000_)"/>
    <numFmt numFmtId="175" formatCode="_ * #,##0.00000_ ;_ * \-#,##0.00000_ ;_ * &quot;-&quot;??_ ;_ @_ "/>
    <numFmt numFmtId="176" formatCode="_ * #,##0.0000_ ;_ * \-#,##0.0000_ ;_ * &quot;-&quot;??_ ;_ @_ "/>
    <numFmt numFmtId="177" formatCode="_ * #,##0.00_ ;_ * \-#,##0.00_ ;_ * &quot;-&quot;_ ;_ @_ "/>
    <numFmt numFmtId="178" formatCode="_ * #,##0.0000_ ;_ * \-#,##0.0000_ ;_ * &quot;-&quot;_ ;_ @_ 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Courier"/>
      <family val="3"/>
    </font>
    <font>
      <b/>
      <sz val="10"/>
      <name val="Courier"/>
      <family val="3"/>
    </font>
    <font>
      <b/>
      <sz val="12"/>
      <color indexed="10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color indexed="53"/>
      <name val="Arial"/>
      <family val="2"/>
    </font>
    <font>
      <sz val="11"/>
      <color indexed="30"/>
      <name val="Calibri"/>
      <family val="2"/>
    </font>
    <font>
      <b/>
      <i/>
      <sz val="9"/>
      <color indexed="36"/>
      <name val="Arial"/>
      <family val="2"/>
    </font>
    <font>
      <i/>
      <sz val="11"/>
      <color indexed="36"/>
      <name val="Calibri"/>
      <family val="2"/>
    </font>
    <font>
      <b/>
      <sz val="8"/>
      <color indexed="36"/>
      <name val="Arial"/>
      <family val="2"/>
    </font>
    <font>
      <b/>
      <sz val="10"/>
      <color indexed="36"/>
      <name val="Calibri"/>
      <family val="2"/>
    </font>
    <font>
      <b/>
      <sz val="9"/>
      <color indexed="9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9"/>
      <color indexed="36"/>
      <name val="Arial"/>
      <family val="2"/>
    </font>
    <font>
      <b/>
      <sz val="10"/>
      <color indexed="30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b/>
      <sz val="7"/>
      <name val="Tahoma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1"/>
      <color indexed="4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Black"/>
      <family val="0"/>
    </font>
    <font>
      <sz val="11"/>
      <color indexed="13"/>
      <name val="Calibri"/>
      <family val="0"/>
    </font>
    <font>
      <b/>
      <sz val="12"/>
      <color indexed="10"/>
      <name val="Calibri"/>
      <family val="0"/>
    </font>
    <font>
      <b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20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sz val="9"/>
      <color theme="5" tint="-0.24997000396251678"/>
      <name val="Arial"/>
      <family val="2"/>
    </font>
    <font>
      <sz val="11"/>
      <color rgb="FF0070C0"/>
      <name val="Calibri"/>
      <family val="2"/>
    </font>
    <font>
      <b/>
      <i/>
      <sz val="9"/>
      <color rgb="FF7030A0"/>
      <name val="Arial"/>
      <family val="2"/>
    </font>
    <font>
      <i/>
      <sz val="11"/>
      <color rgb="FF7030A0"/>
      <name val="Calibri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i/>
      <sz val="9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b/>
      <i/>
      <sz val="11"/>
      <color rgb="FF00B0F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E59B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9" fillId="21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5" fillId="0" borderId="8" applyNumberFormat="0" applyFill="0" applyAlignment="0" applyProtection="0"/>
    <xf numFmtId="0" fontId="94" fillId="0" borderId="9" applyNumberFormat="0" applyFill="0" applyAlignment="0" applyProtection="0"/>
  </cellStyleXfs>
  <cellXfs count="499">
    <xf numFmtId="0" fontId="0" fillId="0" borderId="0" xfId="0" applyFont="1" applyAlignment="1">
      <alignment/>
    </xf>
    <xf numFmtId="0" fontId="95" fillId="0" borderId="0" xfId="0" applyFont="1" applyAlignment="1">
      <alignment/>
    </xf>
    <xf numFmtId="165" fontId="95" fillId="0" borderId="10" xfId="0" applyNumberFormat="1" applyFont="1" applyBorder="1" applyAlignment="1">
      <alignment/>
    </xf>
    <xf numFmtId="165" fontId="9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96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95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95" fillId="33" borderId="0" xfId="0" applyFont="1" applyFill="1" applyAlignment="1">
      <alignment/>
    </xf>
    <xf numFmtId="165" fontId="94" fillId="0" borderId="0" xfId="0" applyNumberFormat="1" applyFont="1" applyAlignment="1">
      <alignment/>
    </xf>
    <xf numFmtId="0" fontId="94" fillId="0" borderId="0" xfId="0" applyFont="1" applyAlignment="1">
      <alignment/>
    </xf>
    <xf numFmtId="165" fontId="0" fillId="34" borderId="0" xfId="0" applyNumberFormat="1" applyFill="1" applyAlignment="1">
      <alignment/>
    </xf>
    <xf numFmtId="0" fontId="1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17" fontId="97" fillId="33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19" xfId="0" applyFont="1" applyBorder="1" applyAlignment="1" applyProtection="1">
      <alignment horizontal="right"/>
      <protection/>
    </xf>
    <xf numFmtId="0" fontId="18" fillId="36" borderId="20" xfId="0" applyFont="1" applyFill="1" applyBorder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right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/>
      <protection/>
    </xf>
    <xf numFmtId="167" fontId="18" fillId="0" borderId="2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165" fontId="18" fillId="0" borderId="20" xfId="0" applyNumberFormat="1" applyFont="1" applyBorder="1" applyAlignment="1" applyProtection="1">
      <alignment/>
      <protection/>
    </xf>
    <xf numFmtId="0" fontId="18" fillId="0" borderId="20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8" fillId="0" borderId="0" xfId="0" applyNumberFormat="1" applyFont="1" applyAlignment="1" applyProtection="1">
      <alignment/>
      <protection locked="0"/>
    </xf>
    <xf numFmtId="2" fontId="18" fillId="0" borderId="0" xfId="0" applyNumberFormat="1" applyFont="1" applyAlignment="1">
      <alignment/>
    </xf>
    <xf numFmtId="167" fontId="18" fillId="0" borderId="0" xfId="0" applyNumberFormat="1" applyFont="1" applyAlignment="1" applyProtection="1">
      <alignment/>
      <protection/>
    </xf>
    <xf numFmtId="167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167" fontId="18" fillId="0" borderId="1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8" fillId="37" borderId="22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18" fillId="37" borderId="23" xfId="0" applyFont="1" applyFill="1" applyBorder="1" applyAlignment="1">
      <alignment horizontal="left"/>
    </xf>
    <xf numFmtId="4" fontId="98" fillId="34" borderId="24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8" fillId="38" borderId="25" xfId="0" applyFont="1" applyFill="1" applyBorder="1" applyAlignment="1">
      <alignment/>
    </xf>
    <xf numFmtId="0" fontId="18" fillId="38" borderId="26" xfId="0" applyFont="1" applyFill="1" applyBorder="1" applyAlignment="1">
      <alignment/>
    </xf>
    <xf numFmtId="167" fontId="21" fillId="38" borderId="27" xfId="0" applyNumberFormat="1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167" fontId="18" fillId="0" borderId="31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2" xfId="0" applyFont="1" applyBorder="1" applyAlignment="1">
      <alignment/>
    </xf>
    <xf numFmtId="167" fontId="18" fillId="0" borderId="12" xfId="0" applyNumberFormat="1" applyFont="1" applyBorder="1" applyAlignment="1">
      <alignment/>
    </xf>
    <xf numFmtId="168" fontId="24" fillId="0" borderId="0" xfId="0" applyNumberFormat="1" applyFont="1" applyAlignment="1" applyProtection="1">
      <alignment horizontal="left"/>
      <protection/>
    </xf>
    <xf numFmtId="165" fontId="25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5" fontId="24" fillId="39" borderId="20" xfId="0" applyNumberFormat="1" applyFont="1" applyFill="1" applyBorder="1" applyAlignment="1" applyProtection="1">
      <alignment horizontal="right"/>
      <protection/>
    </xf>
    <xf numFmtId="169" fontId="25" fillId="36" borderId="32" xfId="0" applyNumberFormat="1" applyFont="1" applyFill="1" applyBorder="1" applyAlignment="1">
      <alignment/>
    </xf>
    <xf numFmtId="165" fontId="24" fillId="36" borderId="20" xfId="0" applyNumberFormat="1" applyFont="1" applyFill="1" applyBorder="1" applyAlignment="1" applyProtection="1">
      <alignment/>
      <protection/>
    </xf>
    <xf numFmtId="165" fontId="24" fillId="37" borderId="21" xfId="0" applyNumberFormat="1" applyFont="1" applyFill="1" applyBorder="1" applyAlignment="1" applyProtection="1">
      <alignment/>
      <protection/>
    </xf>
    <xf numFmtId="165" fontId="24" fillId="38" borderId="0" xfId="0" applyNumberFormat="1" applyFont="1" applyFill="1" applyAlignment="1">
      <alignment horizontal="right"/>
    </xf>
    <xf numFmtId="165" fontId="24" fillId="38" borderId="0" xfId="0" applyNumberFormat="1" applyFont="1" applyFill="1" applyAlignment="1">
      <alignment/>
    </xf>
    <xf numFmtId="165" fontId="25" fillId="38" borderId="0" xfId="0" applyNumberFormat="1" applyFont="1" applyFill="1" applyAlignment="1">
      <alignment/>
    </xf>
    <xf numFmtId="165" fontId="24" fillId="38" borderId="10" xfId="0" applyNumberFormat="1" applyFont="1" applyFill="1" applyBorder="1" applyAlignment="1">
      <alignment/>
    </xf>
    <xf numFmtId="168" fontId="24" fillId="0" borderId="0" xfId="0" applyNumberFormat="1" applyFont="1" applyAlignment="1">
      <alignment/>
    </xf>
    <xf numFmtId="165" fontId="24" fillId="0" borderId="33" xfId="0" applyNumberFormat="1" applyFont="1" applyBorder="1" applyAlignment="1">
      <alignment/>
    </xf>
    <xf numFmtId="165" fontId="24" fillId="0" borderId="34" xfId="0" applyNumberFormat="1" applyFont="1" applyBorder="1" applyAlignment="1">
      <alignment/>
    </xf>
    <xf numFmtId="168" fontId="5" fillId="0" borderId="35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5" fontId="24" fillId="0" borderId="15" xfId="0" applyNumberFormat="1" applyFont="1" applyBorder="1" applyAlignment="1">
      <alignment/>
    </xf>
    <xf numFmtId="168" fontId="5" fillId="0" borderId="3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5" fontId="24" fillId="0" borderId="18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17" fillId="0" borderId="0" xfId="0" applyFont="1" applyAlignment="1">
      <alignment/>
    </xf>
    <xf numFmtId="171" fontId="17" fillId="0" borderId="0" xfId="0" applyNumberFormat="1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3" fontId="17" fillId="0" borderId="0" xfId="0" applyNumberFormat="1" applyFont="1" applyAlignment="1" applyProtection="1">
      <alignment/>
      <protection/>
    </xf>
    <xf numFmtId="0" fontId="28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174" fontId="17" fillId="0" borderId="0" xfId="0" applyNumberFormat="1" applyFont="1" applyAlignment="1" applyProtection="1">
      <alignment/>
      <protection/>
    </xf>
    <xf numFmtId="0" fontId="17" fillId="36" borderId="19" xfId="0" applyFont="1" applyFill="1" applyBorder="1" applyAlignment="1" applyProtection="1">
      <alignment horizontal="center"/>
      <protection/>
    </xf>
    <xf numFmtId="0" fontId="17" fillId="36" borderId="19" xfId="0" applyFont="1" applyFill="1" applyBorder="1" applyAlignment="1" applyProtection="1">
      <alignment horizontal="left"/>
      <protection/>
    </xf>
    <xf numFmtId="174" fontId="17" fillId="36" borderId="19" xfId="0" applyNumberFormat="1" applyFont="1" applyFill="1" applyBorder="1" applyAlignment="1" applyProtection="1">
      <alignment horizontal="center"/>
      <protection/>
    </xf>
    <xf numFmtId="171" fontId="17" fillId="36" borderId="19" xfId="0" applyNumberFormat="1" applyFont="1" applyFill="1" applyBorder="1" applyAlignment="1" applyProtection="1">
      <alignment horizontal="center"/>
      <protection/>
    </xf>
    <xf numFmtId="172" fontId="17" fillId="36" borderId="19" xfId="0" applyNumberFormat="1" applyFont="1" applyFill="1" applyBorder="1" applyAlignment="1" applyProtection="1">
      <alignment horizontal="center"/>
      <protection/>
    </xf>
    <xf numFmtId="173" fontId="17" fillId="36" borderId="37" xfId="0" applyNumberFormat="1" applyFont="1" applyFill="1" applyBorder="1" applyAlignment="1" applyProtection="1">
      <alignment horizontal="centerContinuous" wrapText="1"/>
      <protection/>
    </xf>
    <xf numFmtId="173" fontId="17" fillId="36" borderId="38" xfId="0" applyNumberFormat="1" applyFont="1" applyFill="1" applyBorder="1" applyAlignment="1" applyProtection="1">
      <alignment horizontal="centerContinuous" wrapText="1"/>
      <protection/>
    </xf>
    <xf numFmtId="173" fontId="17" fillId="36" borderId="39" xfId="0" applyNumberFormat="1" applyFont="1" applyFill="1" applyBorder="1" applyAlignment="1" applyProtection="1">
      <alignment horizontal="centerContinuous" wrapText="1"/>
      <protection/>
    </xf>
    <xf numFmtId="173" fontId="17" fillId="36" borderId="19" xfId="0" applyNumberFormat="1" applyFont="1" applyFill="1" applyBorder="1" applyAlignment="1" applyProtection="1">
      <alignment horizontal="center"/>
      <protection/>
    </xf>
    <xf numFmtId="0" fontId="17" fillId="36" borderId="40" xfId="0" applyFont="1" applyFill="1" applyBorder="1" applyAlignment="1">
      <alignment/>
    </xf>
    <xf numFmtId="0" fontId="17" fillId="36" borderId="40" xfId="0" applyFont="1" applyFill="1" applyBorder="1" applyAlignment="1" applyProtection="1">
      <alignment horizontal="center"/>
      <protection/>
    </xf>
    <xf numFmtId="171" fontId="17" fillId="36" borderId="40" xfId="0" applyNumberFormat="1" applyFont="1" applyFill="1" applyBorder="1" applyAlignment="1" applyProtection="1">
      <alignment horizontal="center"/>
      <protection/>
    </xf>
    <xf numFmtId="172" fontId="17" fillId="36" borderId="40" xfId="0" applyNumberFormat="1" applyFont="1" applyFill="1" applyBorder="1" applyAlignment="1" applyProtection="1">
      <alignment horizontal="center"/>
      <protection/>
    </xf>
    <xf numFmtId="173" fontId="17" fillId="36" borderId="40" xfId="0" applyNumberFormat="1" applyFont="1" applyFill="1" applyBorder="1" applyAlignment="1" applyProtection="1">
      <alignment horizontal="center"/>
      <protection/>
    </xf>
    <xf numFmtId="0" fontId="17" fillId="37" borderId="10" xfId="0" applyFont="1" applyFill="1" applyBorder="1" applyAlignment="1" applyProtection="1">
      <alignment horizontal="left"/>
      <protection/>
    </xf>
    <xf numFmtId="49" fontId="17" fillId="40" borderId="10" xfId="0" applyNumberFormat="1" applyFont="1" applyFill="1" applyBorder="1" applyAlignment="1" applyProtection="1">
      <alignment horizontal="left"/>
      <protection/>
    </xf>
    <xf numFmtId="173" fontId="17" fillId="41" borderId="10" xfId="0" applyNumberFormat="1" applyFont="1" applyFill="1" applyBorder="1" applyAlignment="1" applyProtection="1">
      <alignment/>
      <protection/>
    </xf>
    <xf numFmtId="39" fontId="17" fillId="42" borderId="10" xfId="0" applyNumberFormat="1" applyFont="1" applyFill="1" applyBorder="1" applyAlignment="1" applyProtection="1">
      <alignment/>
      <protection/>
    </xf>
    <xf numFmtId="39" fontId="17" fillId="37" borderId="10" xfId="0" applyNumberFormat="1" applyFont="1" applyFill="1" applyBorder="1" applyAlignment="1" applyProtection="1">
      <alignment/>
      <protection/>
    </xf>
    <xf numFmtId="39" fontId="17" fillId="41" borderId="10" xfId="0" applyNumberFormat="1" applyFont="1" applyFill="1" applyBorder="1" applyAlignment="1" applyProtection="1">
      <alignment/>
      <protection/>
    </xf>
    <xf numFmtId="39" fontId="17" fillId="43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>
      <alignment/>
    </xf>
    <xf numFmtId="170" fontId="30" fillId="44" borderId="10" xfId="0" applyNumberFormat="1" applyFont="1" applyFill="1" applyBorder="1" applyAlignment="1" applyProtection="1">
      <alignment horizontal="left"/>
      <protection/>
    </xf>
    <xf numFmtId="0" fontId="31" fillId="44" borderId="10" xfId="0" applyFont="1" applyFill="1" applyBorder="1" applyAlignment="1" applyProtection="1">
      <alignment horizontal="right"/>
      <protection/>
    </xf>
    <xf numFmtId="173" fontId="31" fillId="44" borderId="10" xfId="0" applyNumberFormat="1" applyFont="1" applyFill="1" applyBorder="1" applyAlignment="1" applyProtection="1">
      <alignment horizontal="right"/>
      <protection/>
    </xf>
    <xf numFmtId="173" fontId="18" fillId="44" borderId="10" xfId="0" applyNumberFormat="1" applyFont="1" applyFill="1" applyBorder="1" applyAlignment="1" applyProtection="1">
      <alignment/>
      <protection/>
    </xf>
    <xf numFmtId="49" fontId="17" fillId="40" borderId="10" xfId="0" applyNumberFormat="1" applyFont="1" applyFill="1" applyBorder="1" applyAlignment="1" quotePrefix="1">
      <alignment horizontal="left"/>
    </xf>
    <xf numFmtId="37" fontId="17" fillId="41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horizontal="left"/>
      <protection/>
    </xf>
    <xf numFmtId="173" fontId="17" fillId="0" borderId="10" xfId="0" applyNumberFormat="1" applyFont="1" applyFill="1" applyBorder="1" applyAlignment="1" applyProtection="1">
      <alignment/>
      <protection/>
    </xf>
    <xf numFmtId="0" fontId="17" fillId="41" borderId="10" xfId="0" applyFont="1" applyFill="1" applyBorder="1" applyAlignment="1" applyProtection="1">
      <alignment horizontal="left"/>
      <protection/>
    </xf>
    <xf numFmtId="164" fontId="17" fillId="0" borderId="0" xfId="0" applyNumberFormat="1" applyFont="1" applyAlignment="1">
      <alignment/>
    </xf>
    <xf numFmtId="39" fontId="17" fillId="0" borderId="0" xfId="0" applyNumberFormat="1" applyFont="1" applyAlignment="1" applyProtection="1">
      <alignment/>
      <protection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 applyProtection="1">
      <alignment/>
      <protection/>
    </xf>
    <xf numFmtId="173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4" fontId="32" fillId="0" borderId="0" xfId="0" applyNumberFormat="1" applyFont="1" applyFill="1" applyBorder="1" applyAlignment="1" applyProtection="1">
      <alignment/>
      <protection/>
    </xf>
    <xf numFmtId="39" fontId="17" fillId="0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7" fillId="38" borderId="0" xfId="0" applyFont="1" applyFill="1" applyBorder="1" applyAlignment="1" applyProtection="1">
      <alignment/>
      <protection/>
    </xf>
    <xf numFmtId="0" fontId="28" fillId="38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67" fontId="18" fillId="0" borderId="0" xfId="0" applyNumberFormat="1" applyFont="1" applyAlignment="1">
      <alignment/>
    </xf>
    <xf numFmtId="167" fontId="20" fillId="0" borderId="0" xfId="0" applyNumberFormat="1" applyFont="1" applyAlignment="1" applyProtection="1">
      <alignment/>
      <protection locked="0"/>
    </xf>
    <xf numFmtId="4" fontId="21" fillId="0" borderId="0" xfId="0" applyNumberFormat="1" applyFont="1" applyFill="1" applyAlignment="1">
      <alignment/>
    </xf>
    <xf numFmtId="167" fontId="18" fillId="0" borderId="34" xfId="0" applyNumberFormat="1" applyFont="1" applyBorder="1" applyAlignment="1">
      <alignment/>
    </xf>
    <xf numFmtId="167" fontId="18" fillId="0" borderId="15" xfId="0" applyNumberFormat="1" applyFont="1" applyBorder="1" applyAlignment="1">
      <alignment/>
    </xf>
    <xf numFmtId="0" fontId="18" fillId="37" borderId="28" xfId="0" applyFont="1" applyFill="1" applyBorder="1" applyAlignment="1">
      <alignment horizontal="left"/>
    </xf>
    <xf numFmtId="0" fontId="18" fillId="37" borderId="29" xfId="0" applyFont="1" applyFill="1" applyBorder="1" applyAlignment="1">
      <alignment horizontal="left"/>
    </xf>
    <xf numFmtId="0" fontId="18" fillId="37" borderId="41" xfId="0" applyFont="1" applyFill="1" applyBorder="1" applyAlignment="1">
      <alignment horizontal="left"/>
    </xf>
    <xf numFmtId="4" fontId="98" fillId="34" borderId="18" xfId="0" applyNumberFormat="1" applyFont="1" applyFill="1" applyBorder="1" applyAlignment="1">
      <alignment horizontal="right"/>
    </xf>
    <xf numFmtId="167" fontId="18" fillId="0" borderId="33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7" xfId="0" applyFont="1" applyBorder="1" applyAlignment="1">
      <alignment/>
    </xf>
    <xf numFmtId="167" fontId="18" fillId="0" borderId="18" xfId="0" applyNumberFormat="1" applyFont="1" applyBorder="1" applyAlignment="1">
      <alignment/>
    </xf>
    <xf numFmtId="0" fontId="33" fillId="0" borderId="0" xfId="0" applyFont="1" applyAlignment="1">
      <alignment/>
    </xf>
    <xf numFmtId="165" fontId="26" fillId="0" borderId="0" xfId="0" applyNumberFormat="1" applyFont="1" applyAlignment="1">
      <alignment/>
    </xf>
    <xf numFmtId="165" fontId="33" fillId="0" borderId="0" xfId="0" applyNumberFormat="1" applyFont="1" applyAlignment="1">
      <alignment/>
    </xf>
    <xf numFmtId="0" fontId="26" fillId="38" borderId="35" xfId="0" applyFont="1" applyFill="1" applyBorder="1" applyAlignment="1">
      <alignment/>
    </xf>
    <xf numFmtId="165" fontId="26" fillId="38" borderId="34" xfId="0" applyNumberFormat="1" applyFont="1" applyFill="1" applyBorder="1" applyAlignment="1">
      <alignment/>
    </xf>
    <xf numFmtId="0" fontId="26" fillId="38" borderId="16" xfId="0" applyFont="1" applyFill="1" applyBorder="1" applyAlignment="1">
      <alignment/>
    </xf>
    <xf numFmtId="165" fontId="26" fillId="38" borderId="10" xfId="0" applyNumberFormat="1" applyFont="1" applyFill="1" applyBorder="1" applyAlignment="1">
      <alignment/>
    </xf>
    <xf numFmtId="165" fontId="26" fillId="38" borderId="15" xfId="0" applyNumberFormat="1" applyFont="1" applyFill="1" applyBorder="1" applyAlignment="1">
      <alignment/>
    </xf>
    <xf numFmtId="0" fontId="26" fillId="38" borderId="36" xfId="0" applyFont="1" applyFill="1" applyBorder="1" applyAlignment="1">
      <alignment/>
    </xf>
    <xf numFmtId="165" fontId="26" fillId="38" borderId="17" xfId="0" applyNumberFormat="1" applyFont="1" applyFill="1" applyBorder="1" applyAlignment="1">
      <alignment/>
    </xf>
    <xf numFmtId="168" fontId="16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10" fillId="35" borderId="10" xfId="0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16" fillId="35" borderId="10" xfId="0" applyFont="1" applyFill="1" applyBorder="1" applyAlignment="1">
      <alignment horizontal="center"/>
    </xf>
    <xf numFmtId="1" fontId="18" fillId="0" borderId="20" xfId="0" applyNumberFormat="1" applyFont="1" applyBorder="1" applyAlignment="1" applyProtection="1">
      <alignment/>
      <protection/>
    </xf>
    <xf numFmtId="167" fontId="17" fillId="33" borderId="20" xfId="0" applyNumberFormat="1" applyFont="1" applyFill="1" applyBorder="1" applyAlignment="1" applyProtection="1">
      <alignment/>
      <protection locked="0"/>
    </xf>
    <xf numFmtId="165" fontId="25" fillId="45" borderId="30" xfId="0" applyNumberFormat="1" applyFont="1" applyFill="1" applyBorder="1" applyAlignment="1">
      <alignment/>
    </xf>
    <xf numFmtId="168" fontId="5" fillId="0" borderId="17" xfId="0" applyNumberFormat="1" applyFont="1" applyBorder="1" applyAlignment="1">
      <alignment horizontal="left"/>
    </xf>
    <xf numFmtId="165" fontId="26" fillId="37" borderId="37" xfId="0" applyNumberFormat="1" applyFont="1" applyFill="1" applyBorder="1" applyAlignment="1" applyProtection="1">
      <alignment horizontal="center"/>
      <protection/>
    </xf>
    <xf numFmtId="165" fontId="26" fillId="37" borderId="39" xfId="0" applyNumberFormat="1" applyFont="1" applyFill="1" applyBorder="1" applyAlignment="1" applyProtection="1">
      <alignment horizontal="center"/>
      <protection/>
    </xf>
    <xf numFmtId="169" fontId="25" fillId="36" borderId="40" xfId="0" applyNumberFormat="1" applyFont="1" applyFill="1" applyBorder="1" applyAlignment="1">
      <alignment/>
    </xf>
    <xf numFmtId="169" fontId="25" fillId="36" borderId="21" xfId="0" applyNumberFormat="1" applyFont="1" applyFill="1" applyBorder="1" applyAlignment="1">
      <alignment/>
    </xf>
    <xf numFmtId="165" fontId="5" fillId="38" borderId="10" xfId="0" applyNumberFormat="1" applyFont="1" applyFill="1" applyBorder="1" applyAlignment="1">
      <alignment/>
    </xf>
    <xf numFmtId="165" fontId="27" fillId="38" borderId="10" xfId="0" applyNumberFormat="1" applyFont="1" applyFill="1" applyBorder="1" applyAlignment="1">
      <alignment horizontal="left"/>
    </xf>
    <xf numFmtId="165" fontId="5" fillId="38" borderId="10" xfId="0" applyNumberFormat="1" applyFont="1" applyFill="1" applyBorder="1" applyAlignment="1">
      <alignment horizontal="left"/>
    </xf>
    <xf numFmtId="165" fontId="24" fillId="0" borderId="42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165" fontId="24" fillId="0" borderId="43" xfId="0" applyNumberFormat="1" applyFont="1" applyBorder="1" applyAlignment="1">
      <alignment/>
    </xf>
    <xf numFmtId="165" fontId="24" fillId="36" borderId="20" xfId="0" applyNumberFormat="1" applyFont="1" applyFill="1" applyBorder="1" applyAlignment="1" applyProtection="1">
      <alignment horizontal="center"/>
      <protection/>
    </xf>
    <xf numFmtId="165" fontId="24" fillId="46" borderId="0" xfId="0" applyNumberFormat="1" applyFont="1" applyFill="1" applyAlignment="1">
      <alignment horizontal="right"/>
    </xf>
    <xf numFmtId="0" fontId="27" fillId="37" borderId="10" xfId="0" applyFont="1" applyFill="1" applyBorder="1" applyAlignment="1">
      <alignment/>
    </xf>
    <xf numFmtId="165" fontId="24" fillId="46" borderId="20" xfId="0" applyNumberFormat="1" applyFont="1" applyFill="1" applyBorder="1" applyAlignment="1">
      <alignment horizontal="right"/>
    </xf>
    <xf numFmtId="176" fontId="26" fillId="0" borderId="0" xfId="0" applyNumberFormat="1" applyFont="1" applyAlignment="1">
      <alignment/>
    </xf>
    <xf numFmtId="168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7" fontId="99" fillId="14" borderId="0" xfId="0" applyNumberFormat="1" applyFont="1" applyFill="1" applyAlignment="1">
      <alignment horizontal="left"/>
    </xf>
    <xf numFmtId="165" fontId="100" fillId="0" borderId="10" xfId="0" applyNumberFormat="1" applyFont="1" applyBorder="1" applyAlignment="1">
      <alignment/>
    </xf>
    <xf numFmtId="165" fontId="96" fillId="0" borderId="10" xfId="0" applyNumberFormat="1" applyFont="1" applyFill="1" applyBorder="1" applyAlignment="1">
      <alignment/>
    </xf>
    <xf numFmtId="165" fontId="101" fillId="0" borderId="0" xfId="0" applyNumberFormat="1" applyFont="1" applyBorder="1" applyAlignment="1">
      <alignment/>
    </xf>
    <xf numFmtId="0" fontId="101" fillId="0" borderId="0" xfId="0" applyFont="1" applyBorder="1" applyAlignment="1">
      <alignment/>
    </xf>
    <xf numFmtId="165" fontId="96" fillId="0" borderId="44" xfId="0" applyNumberFormat="1" applyFont="1" applyFill="1" applyBorder="1" applyAlignment="1">
      <alignment/>
    </xf>
    <xf numFmtId="0" fontId="101" fillId="0" borderId="0" xfId="0" applyFont="1" applyAlignment="1">
      <alignment/>
    </xf>
    <xf numFmtId="165" fontId="102" fillId="0" borderId="10" xfId="0" applyNumberFormat="1" applyFont="1" applyFill="1" applyBorder="1" applyAlignment="1">
      <alignment/>
    </xf>
    <xf numFmtId="0" fontId="103" fillId="0" borderId="0" xfId="0" applyFont="1" applyAlignment="1">
      <alignment/>
    </xf>
    <xf numFmtId="165" fontId="102" fillId="0" borderId="10" xfId="0" applyNumberFormat="1" applyFont="1" applyBorder="1" applyAlignment="1">
      <alignment/>
    </xf>
    <xf numFmtId="0" fontId="16" fillId="35" borderId="12" xfId="0" applyFont="1" applyFill="1" applyBorder="1" applyAlignment="1">
      <alignment horizontal="center"/>
    </xf>
    <xf numFmtId="168" fontId="5" fillId="34" borderId="10" xfId="0" applyNumberFormat="1" applyFont="1" applyFill="1" applyBorder="1" applyAlignment="1">
      <alignment horizontal="center"/>
    </xf>
    <xf numFmtId="165" fontId="104" fillId="34" borderId="10" xfId="0" applyNumberFormat="1" applyFont="1" applyFill="1" applyBorder="1" applyAlignment="1">
      <alignment/>
    </xf>
    <xf numFmtId="168" fontId="104" fillId="34" borderId="10" xfId="0" applyNumberFormat="1" applyFont="1" applyFill="1" applyBorder="1" applyAlignment="1">
      <alignment horizontal="center"/>
    </xf>
    <xf numFmtId="168" fontId="96" fillId="0" borderId="10" xfId="0" applyNumberFormat="1" applyFont="1" applyBorder="1" applyAlignment="1">
      <alignment horizontal="center"/>
    </xf>
    <xf numFmtId="165" fontId="10" fillId="0" borderId="0" xfId="0" applyNumberFormat="1" applyFont="1" applyAlignment="1">
      <alignment/>
    </xf>
    <xf numFmtId="177" fontId="17" fillId="42" borderId="10" xfId="0" applyNumberFormat="1" applyFont="1" applyFill="1" applyBorder="1" applyAlignment="1">
      <alignment/>
    </xf>
    <xf numFmtId="177" fontId="17" fillId="42" borderId="10" xfId="0" applyNumberFormat="1" applyFont="1" applyFill="1" applyBorder="1" applyAlignment="1" applyProtection="1">
      <alignment/>
      <protection/>
    </xf>
    <xf numFmtId="177" fontId="17" fillId="37" borderId="10" xfId="0" applyNumberFormat="1" applyFont="1" applyFill="1" applyBorder="1" applyAlignment="1" applyProtection="1">
      <alignment/>
      <protection/>
    </xf>
    <xf numFmtId="177" fontId="17" fillId="41" borderId="10" xfId="0" applyNumberFormat="1" applyFont="1" applyFill="1" applyBorder="1" applyAlignment="1" applyProtection="1">
      <alignment/>
      <protection/>
    </xf>
    <xf numFmtId="177" fontId="17" fillId="43" borderId="10" xfId="0" applyNumberFormat="1" applyFont="1" applyFill="1" applyBorder="1" applyAlignment="1" applyProtection="1">
      <alignment/>
      <protection/>
    </xf>
    <xf numFmtId="177" fontId="32" fillId="0" borderId="10" xfId="0" applyNumberFormat="1" applyFont="1" applyFill="1" applyBorder="1" applyAlignment="1" applyProtection="1">
      <alignment/>
      <protection/>
    </xf>
    <xf numFmtId="177" fontId="17" fillId="0" borderId="10" xfId="0" applyNumberFormat="1" applyFont="1" applyFill="1" applyBorder="1" applyAlignment="1" applyProtection="1">
      <alignment/>
      <protection/>
    </xf>
    <xf numFmtId="177" fontId="17" fillId="42" borderId="10" xfId="0" applyNumberFormat="1" applyFont="1" applyFill="1" applyBorder="1" applyAlignment="1" applyProtection="1">
      <alignment horizontal="left"/>
      <protection/>
    </xf>
    <xf numFmtId="177" fontId="17" fillId="37" borderId="10" xfId="0" applyNumberFormat="1" applyFont="1" applyFill="1" applyBorder="1" applyAlignment="1" applyProtection="1">
      <alignment horizontal="left"/>
      <protection/>
    </xf>
    <xf numFmtId="177" fontId="17" fillId="41" borderId="10" xfId="0" applyNumberFormat="1" applyFont="1" applyFill="1" applyBorder="1" applyAlignment="1" applyProtection="1">
      <alignment horizontal="left"/>
      <protection/>
    </xf>
    <xf numFmtId="177" fontId="17" fillId="43" borderId="10" xfId="0" applyNumberFormat="1" applyFont="1" applyFill="1" applyBorder="1" applyAlignment="1" applyProtection="1">
      <alignment horizontal="left"/>
      <protection/>
    </xf>
    <xf numFmtId="177" fontId="32" fillId="42" borderId="10" xfId="0" applyNumberFormat="1" applyFont="1" applyFill="1" applyBorder="1" applyAlignment="1" applyProtection="1">
      <alignment/>
      <protection/>
    </xf>
    <xf numFmtId="177" fontId="17" fillId="36" borderId="10" xfId="0" applyNumberFormat="1" applyFont="1" applyFill="1" applyBorder="1" applyAlignment="1" applyProtection="1">
      <alignment/>
      <protection/>
    </xf>
    <xf numFmtId="177" fontId="17" fillId="36" borderId="17" xfId="0" applyNumberFormat="1" applyFont="1" applyFill="1" applyBorder="1" applyAlignment="1" applyProtection="1">
      <alignment/>
      <protection/>
    </xf>
    <xf numFmtId="165" fontId="105" fillId="0" borderId="1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165" fontId="106" fillId="0" borderId="10" xfId="0" applyNumberFormat="1" applyFont="1" applyBorder="1" applyAlignment="1">
      <alignment/>
    </xf>
    <xf numFmtId="165" fontId="106" fillId="0" borderId="11" xfId="0" applyNumberFormat="1" applyFont="1" applyBorder="1" applyAlignment="1">
      <alignment/>
    </xf>
    <xf numFmtId="0" fontId="10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49" fillId="0" borderId="0" xfId="0" applyFont="1" applyAlignment="1">
      <alignment/>
    </xf>
    <xf numFmtId="165" fontId="49" fillId="0" borderId="0" xfId="0" applyNumberFormat="1" applyFont="1" applyAlignment="1">
      <alignment/>
    </xf>
    <xf numFmtId="0" fontId="9" fillId="0" borderId="0" xfId="0" applyFont="1" applyAlignment="1">
      <alignment horizontal="center" vertical="top" wrapText="1"/>
    </xf>
    <xf numFmtId="17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26" fillId="38" borderId="33" xfId="0" applyNumberFormat="1" applyFont="1" applyFill="1" applyBorder="1" applyAlignment="1">
      <alignment/>
    </xf>
    <xf numFmtId="165" fontId="26" fillId="38" borderId="18" xfId="0" applyNumberFormat="1" applyFont="1" applyFill="1" applyBorder="1" applyAlignment="1">
      <alignment/>
    </xf>
    <xf numFmtId="0" fontId="9" fillId="47" borderId="16" xfId="0" applyFont="1" applyFill="1" applyBorder="1" applyAlignment="1">
      <alignment horizontal="left" vertical="center" wrapText="1"/>
    </xf>
    <xf numFmtId="165" fontId="0" fillId="47" borderId="10" xfId="0" applyNumberFormat="1" applyFill="1" applyBorder="1" applyAlignment="1">
      <alignment/>
    </xf>
    <xf numFmtId="165" fontId="0" fillId="47" borderId="15" xfId="0" applyNumberFormat="1" applyFill="1" applyBorder="1" applyAlignment="1">
      <alignment/>
    </xf>
    <xf numFmtId="0" fontId="0" fillId="47" borderId="16" xfId="0" applyFill="1" applyBorder="1" applyAlignment="1">
      <alignment/>
    </xf>
    <xf numFmtId="165" fontId="49" fillId="0" borderId="0" xfId="0" applyNumberFormat="1" applyFont="1" applyBorder="1" applyAlignment="1">
      <alignment/>
    </xf>
    <xf numFmtId="165" fontId="49" fillId="0" borderId="45" xfId="0" applyNumberFormat="1" applyFont="1" applyBorder="1" applyAlignment="1">
      <alignment/>
    </xf>
    <xf numFmtId="0" fontId="9" fillId="47" borderId="0" xfId="0" applyFont="1" applyFill="1" applyAlignment="1">
      <alignment/>
    </xf>
    <xf numFmtId="166" fontId="18" fillId="48" borderId="20" xfId="0" applyNumberFormat="1" applyFont="1" applyFill="1" applyBorder="1" applyAlignment="1" applyProtection="1">
      <alignment/>
      <protection locked="0"/>
    </xf>
    <xf numFmtId="0" fontId="18" fillId="48" borderId="21" xfId="0" applyFont="1" applyFill="1" applyBorder="1" applyAlignment="1" applyProtection="1">
      <alignment horizontal="center"/>
      <protection/>
    </xf>
    <xf numFmtId="0" fontId="18" fillId="48" borderId="20" xfId="0" applyFont="1" applyFill="1" applyBorder="1" applyAlignment="1" applyProtection="1">
      <alignment horizontal="center"/>
      <protection/>
    </xf>
    <xf numFmtId="167" fontId="20" fillId="48" borderId="20" xfId="0" applyNumberFormat="1" applyFont="1" applyFill="1" applyBorder="1" applyAlignment="1" applyProtection="1">
      <alignment/>
      <protection locked="0"/>
    </xf>
    <xf numFmtId="166" fontId="18" fillId="48" borderId="0" xfId="0" applyNumberFormat="1" applyFont="1" applyFill="1" applyAlignment="1" applyProtection="1">
      <alignment/>
      <protection locked="0"/>
    </xf>
    <xf numFmtId="0" fontId="18" fillId="48" borderId="19" xfId="0" applyFont="1" applyFill="1" applyBorder="1" applyAlignment="1" applyProtection="1">
      <alignment horizontal="center"/>
      <protection/>
    </xf>
    <xf numFmtId="165" fontId="20" fillId="48" borderId="20" xfId="0" applyNumberFormat="1" applyFont="1" applyFill="1" applyBorder="1" applyAlignment="1" applyProtection="1">
      <alignment/>
      <protection locked="0"/>
    </xf>
    <xf numFmtId="167" fontId="18" fillId="2" borderId="20" xfId="0" applyNumberFormat="1" applyFont="1" applyFill="1" applyBorder="1" applyAlignment="1" applyProtection="1">
      <alignment/>
      <protection locked="0"/>
    </xf>
    <xf numFmtId="0" fontId="18" fillId="48" borderId="20" xfId="0" applyFont="1" applyFill="1" applyBorder="1" applyAlignment="1" applyProtection="1">
      <alignment horizontal="centerContinuous" vertical="center"/>
      <protection/>
    </xf>
    <xf numFmtId="166" fontId="18" fillId="48" borderId="21" xfId="0" applyNumberFormat="1" applyFont="1" applyFill="1" applyBorder="1" applyAlignment="1" applyProtection="1">
      <alignment/>
      <protection locked="0"/>
    </xf>
    <xf numFmtId="165" fontId="21" fillId="48" borderId="20" xfId="0" applyNumberFormat="1" applyFont="1" applyFill="1" applyBorder="1" applyAlignment="1" applyProtection="1">
      <alignment/>
      <protection locked="0"/>
    </xf>
    <xf numFmtId="165" fontId="108" fillId="48" borderId="20" xfId="0" applyNumberFormat="1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left"/>
      <protection locked="0"/>
    </xf>
    <xf numFmtId="168" fontId="24" fillId="49" borderId="19" xfId="0" applyNumberFormat="1" applyFont="1" applyFill="1" applyBorder="1" applyAlignment="1">
      <alignment/>
    </xf>
    <xf numFmtId="168" fontId="24" fillId="49" borderId="40" xfId="0" applyNumberFormat="1" applyFont="1" applyFill="1" applyBorder="1" applyAlignment="1">
      <alignment/>
    </xf>
    <xf numFmtId="168" fontId="24" fillId="49" borderId="21" xfId="0" applyNumberFormat="1" applyFont="1" applyFill="1" applyBorder="1" applyAlignment="1" applyProtection="1">
      <alignment horizontal="right"/>
      <protection/>
    </xf>
    <xf numFmtId="168" fontId="24" fillId="49" borderId="40" xfId="47" applyNumberFormat="1" applyFont="1" applyFill="1" applyBorder="1" applyAlignment="1" applyProtection="1">
      <alignment horizontal="left"/>
      <protection/>
    </xf>
    <xf numFmtId="168" fontId="27" fillId="49" borderId="40" xfId="47" applyNumberFormat="1" applyFont="1" applyFill="1" applyBorder="1" applyAlignment="1" applyProtection="1">
      <alignment horizontal="left"/>
      <protection/>
    </xf>
    <xf numFmtId="175" fontId="27" fillId="49" borderId="40" xfId="47" applyNumberFormat="1" applyFont="1" applyFill="1" applyBorder="1" applyAlignment="1" applyProtection="1">
      <alignment horizontal="left"/>
      <protection/>
    </xf>
    <xf numFmtId="168" fontId="26" fillId="49" borderId="40" xfId="47" applyNumberFormat="1" applyFont="1" applyFill="1" applyBorder="1" applyAlignment="1" applyProtection="1">
      <alignment horizontal="left"/>
      <protection/>
    </xf>
    <xf numFmtId="168" fontId="24" fillId="49" borderId="21" xfId="47" applyNumberFormat="1" applyFont="1" applyFill="1" applyBorder="1" applyAlignment="1" applyProtection="1">
      <alignment horizontal="left"/>
      <protection/>
    </xf>
    <xf numFmtId="168" fontId="26" fillId="49" borderId="21" xfId="47" applyNumberFormat="1" applyFont="1" applyFill="1" applyBorder="1" applyAlignment="1" applyProtection="1">
      <alignment horizontal="left"/>
      <protection/>
    </xf>
    <xf numFmtId="168" fontId="24" fillId="49" borderId="37" xfId="0" applyNumberFormat="1" applyFont="1" applyFill="1" applyBorder="1" applyAlignment="1" applyProtection="1">
      <alignment horizontal="left"/>
      <protection/>
    </xf>
    <xf numFmtId="168" fontId="24" fillId="49" borderId="38" xfId="0" applyNumberFormat="1" applyFont="1" applyFill="1" applyBorder="1" applyAlignment="1" applyProtection="1">
      <alignment horizontal="left"/>
      <protection/>
    </xf>
    <xf numFmtId="165" fontId="24" fillId="49" borderId="39" xfId="0" applyNumberFormat="1" applyFont="1" applyFill="1" applyBorder="1" applyAlignment="1">
      <alignment/>
    </xf>
    <xf numFmtId="165" fontId="25" fillId="49" borderId="30" xfId="0" applyNumberFormat="1" applyFont="1" applyFill="1" applyBorder="1" applyAlignment="1">
      <alignment/>
    </xf>
    <xf numFmtId="165" fontId="24" fillId="48" borderId="20" xfId="0" applyNumberFormat="1" applyFont="1" applyFill="1" applyBorder="1" applyAlignment="1" applyProtection="1">
      <alignment horizontal="center"/>
      <protection/>
    </xf>
    <xf numFmtId="169" fontId="24" fillId="48" borderId="32" xfId="0" applyNumberFormat="1" applyFont="1" applyFill="1" applyBorder="1" applyAlignment="1" applyProtection="1">
      <alignment horizontal="right"/>
      <protection/>
    </xf>
    <xf numFmtId="169" fontId="24" fillId="48" borderId="19" xfId="0" applyNumberFormat="1" applyFont="1" applyFill="1" applyBorder="1" applyAlignment="1" applyProtection="1">
      <alignment horizontal="right"/>
      <protection/>
    </xf>
    <xf numFmtId="169" fontId="25" fillId="48" borderId="32" xfId="0" applyNumberFormat="1" applyFont="1" applyFill="1" applyBorder="1" applyAlignment="1">
      <alignment/>
    </xf>
    <xf numFmtId="169" fontId="25" fillId="48" borderId="40" xfId="0" applyNumberFormat="1" applyFont="1" applyFill="1" applyBorder="1" applyAlignment="1">
      <alignment/>
    </xf>
    <xf numFmtId="169" fontId="25" fillId="48" borderId="21" xfId="0" applyNumberFormat="1" applyFont="1" applyFill="1" applyBorder="1" applyAlignment="1">
      <alignment/>
    </xf>
    <xf numFmtId="165" fontId="24" fillId="48" borderId="20" xfId="0" applyNumberFormat="1" applyFont="1" applyFill="1" applyBorder="1" applyAlignment="1" applyProtection="1">
      <alignment/>
      <protection/>
    </xf>
    <xf numFmtId="168" fontId="24" fillId="38" borderId="40" xfId="47" applyNumberFormat="1" applyFont="1" applyFill="1" applyBorder="1" applyAlignment="1" applyProtection="1">
      <alignment horizontal="left"/>
      <protection/>
    </xf>
    <xf numFmtId="168" fontId="26" fillId="38" borderId="19" xfId="47" applyNumberFormat="1" applyFont="1" applyFill="1" applyBorder="1" applyAlignment="1" applyProtection="1">
      <alignment horizontal="left"/>
      <protection/>
    </xf>
    <xf numFmtId="168" fontId="27" fillId="38" borderId="40" xfId="47" applyNumberFormat="1" applyFont="1" applyFill="1" applyBorder="1" applyAlignment="1" applyProtection="1">
      <alignment horizontal="left"/>
      <protection/>
    </xf>
    <xf numFmtId="169" fontId="24" fillId="48" borderId="46" xfId="0" applyNumberFormat="1" applyFont="1" applyFill="1" applyBorder="1" applyAlignment="1" applyProtection="1">
      <alignment horizontal="right"/>
      <protection/>
    </xf>
    <xf numFmtId="169" fontId="25" fillId="48" borderId="46" xfId="0" applyNumberFormat="1" applyFont="1" applyFill="1" applyBorder="1" applyAlignment="1" applyProtection="1">
      <alignment horizontal="right"/>
      <protection/>
    </xf>
    <xf numFmtId="169" fontId="25" fillId="48" borderId="46" xfId="0" applyNumberFormat="1" applyFont="1" applyFill="1" applyBorder="1" applyAlignment="1" applyProtection="1">
      <alignment/>
      <protection/>
    </xf>
    <xf numFmtId="165" fontId="24" fillId="48" borderId="39" xfId="0" applyNumberFormat="1" applyFont="1" applyFill="1" applyBorder="1" applyAlignment="1" applyProtection="1">
      <alignment/>
      <protection/>
    </xf>
    <xf numFmtId="178" fontId="17" fillId="36" borderId="10" xfId="0" applyNumberFormat="1" applyFont="1" applyFill="1" applyBorder="1" applyAlignment="1" applyProtection="1">
      <alignment/>
      <protection/>
    </xf>
    <xf numFmtId="178" fontId="17" fillId="0" borderId="10" xfId="0" applyNumberFormat="1" applyFont="1" applyFill="1" applyBorder="1" applyAlignment="1" applyProtection="1">
      <alignment/>
      <protection/>
    </xf>
    <xf numFmtId="178" fontId="17" fillId="36" borderId="17" xfId="0" applyNumberFormat="1" applyFont="1" applyFill="1" applyBorder="1" applyAlignment="1" applyProtection="1">
      <alignment/>
      <protection/>
    </xf>
    <xf numFmtId="177" fontId="17" fillId="38" borderId="10" xfId="0" applyNumberFormat="1" applyFont="1" applyFill="1" applyBorder="1" applyAlignment="1" applyProtection="1">
      <alignment/>
      <protection/>
    </xf>
    <xf numFmtId="177" fontId="17" fillId="38" borderId="10" xfId="0" applyNumberFormat="1" applyFont="1" applyFill="1" applyBorder="1" applyAlignment="1">
      <alignment/>
    </xf>
    <xf numFmtId="39" fontId="18" fillId="0" borderId="0" xfId="0" applyNumberFormat="1" applyFont="1" applyFill="1" applyBorder="1" applyAlignment="1" applyProtection="1">
      <alignment horizontal="right"/>
      <protection/>
    </xf>
    <xf numFmtId="39" fontId="17" fillId="0" borderId="0" xfId="0" applyNumberFormat="1" applyFont="1" applyFill="1" applyBorder="1" applyAlignment="1" applyProtection="1">
      <alignment horizontal="right"/>
      <protection/>
    </xf>
    <xf numFmtId="164" fontId="17" fillId="42" borderId="10" xfId="0" applyNumberFormat="1" applyFont="1" applyFill="1" applyBorder="1" applyAlignment="1" applyProtection="1">
      <alignment horizontal="right"/>
      <protection/>
    </xf>
    <xf numFmtId="39" fontId="17" fillId="36" borderId="10" xfId="0" applyNumberFormat="1" applyFont="1" applyFill="1" applyBorder="1" applyAlignment="1" applyProtection="1">
      <alignment horizontal="right"/>
      <protection/>
    </xf>
    <xf numFmtId="39" fontId="18" fillId="36" borderId="10" xfId="0" applyNumberFormat="1" applyFont="1" applyFill="1" applyBorder="1" applyAlignment="1" applyProtection="1">
      <alignment horizontal="right"/>
      <protection/>
    </xf>
    <xf numFmtId="0" fontId="34" fillId="48" borderId="25" xfId="0" applyFont="1" applyFill="1" applyBorder="1" applyAlignment="1">
      <alignment horizontal="justify"/>
    </xf>
    <xf numFmtId="165" fontId="26" fillId="48" borderId="26" xfId="0" applyNumberFormat="1" applyFont="1" applyFill="1" applyBorder="1" applyAlignment="1">
      <alignment/>
    </xf>
    <xf numFmtId="176" fontId="26" fillId="48" borderId="26" xfId="0" applyNumberFormat="1" applyFont="1" applyFill="1" applyBorder="1" applyAlignment="1">
      <alignment/>
    </xf>
    <xf numFmtId="165" fontId="26" fillId="48" borderId="27" xfId="0" applyNumberFormat="1" applyFont="1" applyFill="1" applyBorder="1" applyAlignment="1">
      <alignment/>
    </xf>
    <xf numFmtId="0" fontId="22" fillId="48" borderId="32" xfId="0" applyFont="1" applyFill="1" applyBorder="1" applyAlignment="1">
      <alignment horizontal="justify"/>
    </xf>
    <xf numFmtId="165" fontId="26" fillId="48" borderId="0" xfId="0" applyNumberFormat="1" applyFont="1" applyFill="1" applyBorder="1" applyAlignment="1">
      <alignment/>
    </xf>
    <xf numFmtId="176" fontId="26" fillId="48" borderId="0" xfId="0" applyNumberFormat="1" applyFont="1" applyFill="1" applyBorder="1" applyAlignment="1">
      <alignment/>
    </xf>
    <xf numFmtId="165" fontId="26" fillId="48" borderId="46" xfId="0" applyNumberFormat="1" applyFont="1" applyFill="1" applyBorder="1" applyAlignment="1">
      <alignment/>
    </xf>
    <xf numFmtId="0" fontId="26" fillId="48" borderId="32" xfId="0" applyFont="1" applyFill="1" applyBorder="1" applyAlignment="1">
      <alignment horizontal="justify"/>
    </xf>
    <xf numFmtId="165" fontId="26" fillId="48" borderId="29" xfId="0" applyNumberFormat="1" applyFont="1" applyFill="1" applyBorder="1" applyAlignment="1">
      <alignment/>
    </xf>
    <xf numFmtId="176" fontId="26" fillId="48" borderId="29" xfId="0" applyNumberFormat="1" applyFont="1" applyFill="1" applyBorder="1" applyAlignment="1">
      <alignment/>
    </xf>
    <xf numFmtId="165" fontId="26" fillId="48" borderId="30" xfId="0" applyNumberFormat="1" applyFont="1" applyFill="1" applyBorder="1" applyAlignment="1">
      <alignment/>
    </xf>
    <xf numFmtId="0" fontId="22" fillId="48" borderId="28" xfId="0" applyFont="1" applyFill="1" applyBorder="1" applyAlignment="1">
      <alignment horizontal="justify"/>
    </xf>
    <xf numFmtId="165" fontId="22" fillId="48" borderId="39" xfId="0" applyNumberFormat="1" applyFont="1" applyFill="1" applyBorder="1" applyAlignment="1">
      <alignment/>
    </xf>
    <xf numFmtId="0" fontId="34" fillId="2" borderId="25" xfId="0" applyFont="1" applyFill="1" applyBorder="1" applyAlignment="1">
      <alignment horizontal="justify"/>
    </xf>
    <xf numFmtId="165" fontId="26" fillId="2" borderId="26" xfId="0" applyNumberFormat="1" applyFont="1" applyFill="1" applyBorder="1" applyAlignment="1">
      <alignment/>
    </xf>
    <xf numFmtId="176" fontId="26" fillId="2" borderId="26" xfId="0" applyNumberFormat="1" applyFont="1" applyFill="1" applyBorder="1" applyAlignment="1">
      <alignment/>
    </xf>
    <xf numFmtId="165" fontId="26" fillId="2" borderId="27" xfId="0" applyNumberFormat="1" applyFont="1" applyFill="1" applyBorder="1" applyAlignment="1">
      <alignment/>
    </xf>
    <xf numFmtId="0" fontId="26" fillId="2" borderId="32" xfId="0" applyFont="1" applyFill="1" applyBorder="1" applyAlignment="1">
      <alignment horizontal="justify"/>
    </xf>
    <xf numFmtId="165" fontId="26" fillId="2" borderId="0" xfId="0" applyNumberFormat="1" applyFont="1" applyFill="1" applyBorder="1" applyAlignment="1">
      <alignment/>
    </xf>
    <xf numFmtId="176" fontId="26" fillId="2" borderId="0" xfId="0" applyNumberFormat="1" applyFont="1" applyFill="1" applyBorder="1" applyAlignment="1">
      <alignment/>
    </xf>
    <xf numFmtId="165" fontId="26" fillId="2" borderId="46" xfId="0" applyNumberFormat="1" applyFont="1" applyFill="1" applyBorder="1" applyAlignment="1">
      <alignment/>
    </xf>
    <xf numFmtId="165" fontId="26" fillId="2" borderId="29" xfId="0" applyNumberFormat="1" applyFont="1" applyFill="1" applyBorder="1" applyAlignment="1">
      <alignment/>
    </xf>
    <xf numFmtId="176" fontId="26" fillId="2" borderId="29" xfId="0" applyNumberFormat="1" applyFont="1" applyFill="1" applyBorder="1" applyAlignment="1">
      <alignment/>
    </xf>
    <xf numFmtId="165" fontId="26" fillId="2" borderId="30" xfId="0" applyNumberFormat="1" applyFont="1" applyFill="1" applyBorder="1" applyAlignment="1">
      <alignment/>
    </xf>
    <xf numFmtId="0" fontId="22" fillId="2" borderId="28" xfId="0" applyFont="1" applyFill="1" applyBorder="1" applyAlignment="1">
      <alignment horizontal="justify"/>
    </xf>
    <xf numFmtId="165" fontId="22" fillId="2" borderId="47" xfId="0" applyNumberFormat="1" applyFont="1" applyFill="1" applyBorder="1" applyAlignment="1">
      <alignment/>
    </xf>
    <xf numFmtId="165" fontId="109" fillId="2" borderId="39" xfId="0" applyNumberFormat="1" applyFont="1" applyFill="1" applyBorder="1" applyAlignment="1">
      <alignment/>
    </xf>
    <xf numFmtId="165" fontId="22" fillId="48" borderId="47" xfId="0" applyNumberFormat="1" applyFont="1" applyFill="1" applyBorder="1" applyAlignment="1">
      <alignment/>
    </xf>
    <xf numFmtId="165" fontId="24" fillId="49" borderId="20" xfId="0" applyNumberFormat="1" applyFont="1" applyFill="1" applyBorder="1" applyAlignment="1" applyProtection="1">
      <alignment horizontal="center"/>
      <protection/>
    </xf>
    <xf numFmtId="169" fontId="24" fillId="49" borderId="46" xfId="0" applyNumberFormat="1" applyFont="1" applyFill="1" applyBorder="1" applyAlignment="1" applyProtection="1">
      <alignment horizontal="right"/>
      <protection/>
    </xf>
    <xf numFmtId="169" fontId="25" fillId="49" borderId="46" xfId="0" applyNumberFormat="1" applyFont="1" applyFill="1" applyBorder="1" applyAlignment="1" applyProtection="1">
      <alignment horizontal="right"/>
      <protection/>
    </xf>
    <xf numFmtId="165" fontId="24" fillId="49" borderId="39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165" fontId="36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36" fillId="0" borderId="10" xfId="0" applyNumberFormat="1" applyFont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110" fillId="0" borderId="16" xfId="0" applyFont="1" applyBorder="1" applyAlignment="1">
      <alignment horizontal="left" vertical="center" wrapText="1"/>
    </xf>
    <xf numFmtId="0" fontId="110" fillId="0" borderId="36" xfId="0" applyFont="1" applyBorder="1" applyAlignment="1">
      <alignment horizontal="left" vertical="center" wrapText="1"/>
    </xf>
    <xf numFmtId="0" fontId="26" fillId="33" borderId="0" xfId="0" applyFont="1" applyFill="1" applyAlignment="1">
      <alignment/>
    </xf>
    <xf numFmtId="170" fontId="53" fillId="33" borderId="20" xfId="0" applyNumberFormat="1" applyFont="1" applyFill="1" applyBorder="1" applyAlignment="1" applyProtection="1">
      <alignment/>
      <protection/>
    </xf>
    <xf numFmtId="0" fontId="94" fillId="0" borderId="0" xfId="0" applyFont="1" applyAlignment="1">
      <alignment/>
    </xf>
    <xf numFmtId="165" fontId="100" fillId="33" borderId="10" xfId="0" applyNumberFormat="1" applyFont="1" applyFill="1" applyBorder="1" applyAlignment="1">
      <alignment/>
    </xf>
    <xf numFmtId="169" fontId="111" fillId="48" borderId="46" xfId="0" applyNumberFormat="1" applyFont="1" applyFill="1" applyBorder="1" applyAlignment="1" applyProtection="1">
      <alignment horizontal="right"/>
      <protection/>
    </xf>
    <xf numFmtId="165" fontId="111" fillId="48" borderId="39" xfId="0" applyNumberFormat="1" applyFont="1" applyFill="1" applyBorder="1" applyAlignment="1" applyProtection="1">
      <alignment/>
      <protection/>
    </xf>
    <xf numFmtId="165" fontId="112" fillId="49" borderId="30" xfId="0" applyNumberFormat="1" applyFont="1" applyFill="1" applyBorder="1" applyAlignment="1">
      <alignment/>
    </xf>
    <xf numFmtId="165" fontId="111" fillId="46" borderId="0" xfId="0" applyNumberFormat="1" applyFont="1" applyFill="1" applyAlignment="1">
      <alignment horizontal="right"/>
    </xf>
    <xf numFmtId="165" fontId="111" fillId="38" borderId="10" xfId="0" applyNumberFormat="1" applyFont="1" applyFill="1" applyBorder="1" applyAlignment="1">
      <alignment/>
    </xf>
    <xf numFmtId="165" fontId="111" fillId="34" borderId="10" xfId="0" applyNumberFormat="1" applyFont="1" applyFill="1" applyBorder="1" applyAlignment="1">
      <alignment/>
    </xf>
    <xf numFmtId="165" fontId="25" fillId="0" borderId="29" xfId="0" applyNumberFormat="1" applyFont="1" applyBorder="1" applyAlignment="1" applyProtection="1">
      <alignment/>
      <protection/>
    </xf>
    <xf numFmtId="175" fontId="113" fillId="38" borderId="40" xfId="47" applyNumberFormat="1" applyFont="1" applyFill="1" applyBorder="1" applyAlignment="1" applyProtection="1">
      <alignment horizontal="left"/>
      <protection/>
    </xf>
    <xf numFmtId="165" fontId="102" fillId="0" borderId="0" xfId="0" applyNumberFormat="1" applyFont="1" applyFill="1" applyBorder="1" applyAlignment="1">
      <alignment/>
    </xf>
    <xf numFmtId="165" fontId="10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5" fontId="24" fillId="48" borderId="38" xfId="0" applyNumberFormat="1" applyFont="1" applyFill="1" applyBorder="1" applyAlignment="1" applyProtection="1">
      <alignment/>
      <protection/>
    </xf>
    <xf numFmtId="0" fontId="114" fillId="2" borderId="32" xfId="0" applyFont="1" applyFill="1" applyBorder="1" applyAlignment="1">
      <alignment horizontal="justify"/>
    </xf>
    <xf numFmtId="165" fontId="26" fillId="2" borderId="48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105" fillId="33" borderId="49" xfId="0" applyFont="1" applyFill="1" applyBorder="1" applyAlignment="1">
      <alignment horizontal="center"/>
    </xf>
    <xf numFmtId="0" fontId="99" fillId="33" borderId="37" xfId="0" applyFont="1" applyFill="1" applyBorder="1" applyAlignment="1">
      <alignment horizontal="center"/>
    </xf>
    <xf numFmtId="0" fontId="99" fillId="33" borderId="38" xfId="0" applyFont="1" applyFill="1" applyBorder="1" applyAlignment="1">
      <alignment horizontal="center"/>
    </xf>
    <xf numFmtId="0" fontId="99" fillId="33" borderId="39" xfId="0" applyFont="1" applyFill="1" applyBorder="1" applyAlignment="1">
      <alignment horizontal="center"/>
    </xf>
    <xf numFmtId="0" fontId="0" fillId="0" borderId="37" xfId="0" applyNumberFormat="1" applyBorder="1" applyAlignment="1">
      <alignment horizontal="left" wrapText="1"/>
    </xf>
    <xf numFmtId="0" fontId="0" fillId="0" borderId="38" xfId="0" applyNumberFormat="1" applyBorder="1" applyAlignment="1">
      <alignment horizontal="left" wrapText="1"/>
    </xf>
    <xf numFmtId="0" fontId="0" fillId="0" borderId="39" xfId="0" applyNumberFormat="1" applyBorder="1" applyAlignment="1">
      <alignment horizontal="left" wrapText="1"/>
    </xf>
    <xf numFmtId="0" fontId="0" fillId="33" borderId="37" xfId="0" applyNumberFormat="1" applyFill="1" applyBorder="1" applyAlignment="1">
      <alignment horizontal="left" wrapText="1"/>
    </xf>
    <xf numFmtId="0" fontId="0" fillId="33" borderId="38" xfId="0" applyNumberFormat="1" applyFill="1" applyBorder="1" applyAlignment="1">
      <alignment horizontal="left" wrapText="1"/>
    </xf>
    <xf numFmtId="0" fontId="0" fillId="33" borderId="39" xfId="0" applyNumberFormat="1" applyFill="1" applyBorder="1" applyAlignment="1">
      <alignment horizontal="left" wrapText="1"/>
    </xf>
    <xf numFmtId="0" fontId="94" fillId="0" borderId="25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165" fontId="96" fillId="0" borderId="10" xfId="0" applyNumberFormat="1" applyFont="1" applyBorder="1" applyAlignment="1">
      <alignment horizontal="center"/>
    </xf>
    <xf numFmtId="0" fontId="105" fillId="33" borderId="0" xfId="0" applyFont="1" applyFill="1" applyAlignment="1">
      <alignment horizontal="center"/>
    </xf>
    <xf numFmtId="0" fontId="115" fillId="33" borderId="49" xfId="0" applyFont="1" applyFill="1" applyBorder="1" applyAlignment="1">
      <alignment horizontal="center"/>
    </xf>
    <xf numFmtId="17" fontId="116" fillId="0" borderId="11" xfId="0" applyNumberFormat="1" applyFont="1" applyBorder="1" applyAlignment="1">
      <alignment horizontal="center"/>
    </xf>
    <xf numFmtId="165" fontId="116" fillId="0" borderId="50" xfId="0" applyNumberFormat="1" applyFont="1" applyBorder="1" applyAlignment="1">
      <alignment horizontal="center"/>
    </xf>
    <xf numFmtId="165" fontId="117" fillId="0" borderId="11" xfId="0" applyNumberFormat="1" applyFont="1" applyBorder="1" applyAlignment="1">
      <alignment horizontal="center"/>
    </xf>
    <xf numFmtId="165" fontId="117" fillId="0" borderId="5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33" borderId="0" xfId="0" applyFont="1" applyFill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37" borderId="53" xfId="0" applyFont="1" applyFill="1" applyBorder="1" applyAlignment="1">
      <alignment horizontal="left"/>
    </xf>
    <xf numFmtId="0" fontId="18" fillId="37" borderId="54" xfId="0" applyFont="1" applyFill="1" applyBorder="1" applyAlignment="1">
      <alignment horizontal="left"/>
    </xf>
    <xf numFmtId="0" fontId="18" fillId="37" borderId="55" xfId="0" applyFont="1" applyFill="1" applyBorder="1" applyAlignment="1">
      <alignment horizontal="left"/>
    </xf>
    <xf numFmtId="0" fontId="19" fillId="0" borderId="22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46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7" fillId="2" borderId="49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52" xfId="0" applyFont="1" applyFill="1" applyBorder="1" applyAlignment="1" applyProtection="1">
      <alignment horizontal="left"/>
      <protection locked="0"/>
    </xf>
    <xf numFmtId="0" fontId="19" fillId="0" borderId="50" xfId="0" applyFont="1" applyFill="1" applyBorder="1" applyAlignment="1" applyProtection="1">
      <alignment horizontal="left"/>
      <protection locked="0"/>
    </xf>
    <xf numFmtId="0" fontId="18" fillId="37" borderId="25" xfId="0" applyFont="1" applyFill="1" applyBorder="1" applyAlignment="1">
      <alignment horizontal="left"/>
    </xf>
    <xf numFmtId="0" fontId="18" fillId="37" borderId="26" xfId="0" applyFont="1" applyFill="1" applyBorder="1" applyAlignment="1">
      <alignment horizontal="left"/>
    </xf>
    <xf numFmtId="0" fontId="18" fillId="37" borderId="57" xfId="0" applyFont="1" applyFill="1" applyBorder="1" applyAlignment="1">
      <alignment horizontal="left"/>
    </xf>
    <xf numFmtId="0" fontId="18" fillId="0" borderId="58" xfId="0" applyFont="1" applyBorder="1" applyAlignment="1">
      <alignment horizontal="left"/>
    </xf>
    <xf numFmtId="165" fontId="24" fillId="0" borderId="10" xfId="0" applyNumberFormat="1" applyFont="1" applyBorder="1" applyAlignment="1">
      <alignment horizontal="center"/>
    </xf>
    <xf numFmtId="165" fontId="26" fillId="37" borderId="37" xfId="0" applyNumberFormat="1" applyFont="1" applyFill="1" applyBorder="1" applyAlignment="1" applyProtection="1">
      <alignment horizontal="center"/>
      <protection/>
    </xf>
    <xf numFmtId="165" fontId="26" fillId="37" borderId="39" xfId="0" applyNumberFormat="1" applyFont="1" applyFill="1" applyBorder="1" applyAlignment="1" applyProtection="1">
      <alignment horizontal="center"/>
      <protection/>
    </xf>
    <xf numFmtId="165" fontId="5" fillId="38" borderId="10" xfId="0" applyNumberFormat="1" applyFont="1" applyFill="1" applyBorder="1" applyAlignment="1">
      <alignment/>
    </xf>
    <xf numFmtId="165" fontId="27" fillId="38" borderId="10" xfId="0" applyNumberFormat="1" applyFont="1" applyFill="1" applyBorder="1" applyAlignment="1">
      <alignment horizontal="left"/>
    </xf>
    <xf numFmtId="165" fontId="5" fillId="38" borderId="10" xfId="0" applyNumberFormat="1" applyFont="1" applyFill="1" applyBorder="1" applyAlignment="1">
      <alignment horizontal="left"/>
    </xf>
    <xf numFmtId="168" fontId="24" fillId="49" borderId="37" xfId="0" applyNumberFormat="1" applyFont="1" applyFill="1" applyBorder="1" applyAlignment="1" applyProtection="1">
      <alignment horizontal="center"/>
      <protection/>
    </xf>
    <xf numFmtId="168" fontId="24" fillId="49" borderId="38" xfId="0" applyNumberFormat="1" applyFont="1" applyFill="1" applyBorder="1" applyAlignment="1" applyProtection="1">
      <alignment horizontal="center"/>
      <protection/>
    </xf>
    <xf numFmtId="168" fontId="24" fillId="49" borderId="39" xfId="0" applyNumberFormat="1" applyFont="1" applyFill="1" applyBorder="1" applyAlignment="1" applyProtection="1">
      <alignment horizontal="center"/>
      <protection/>
    </xf>
    <xf numFmtId="168" fontId="5" fillId="0" borderId="36" xfId="0" applyNumberFormat="1" applyFont="1" applyBorder="1" applyAlignment="1">
      <alignment horizontal="left"/>
    </xf>
    <xf numFmtId="168" fontId="5" fillId="0" borderId="59" xfId="0" applyNumberFormat="1" applyFont="1" applyBorder="1" applyAlignment="1">
      <alignment horizontal="left"/>
    </xf>
    <xf numFmtId="168" fontId="5" fillId="0" borderId="17" xfId="0" applyNumberFormat="1" applyFont="1" applyBorder="1" applyAlignment="1">
      <alignment horizontal="left"/>
    </xf>
    <xf numFmtId="165" fontId="24" fillId="49" borderId="25" xfId="0" applyNumberFormat="1" applyFont="1" applyFill="1" applyBorder="1" applyAlignment="1" applyProtection="1">
      <alignment horizontal="center"/>
      <protection/>
    </xf>
    <xf numFmtId="165" fontId="24" fillId="49" borderId="26" xfId="0" applyNumberFormat="1" applyFont="1" applyFill="1" applyBorder="1" applyAlignment="1" applyProtection="1">
      <alignment horizontal="center"/>
      <protection/>
    </xf>
    <xf numFmtId="165" fontId="24" fillId="49" borderId="27" xfId="0" applyNumberFormat="1" applyFont="1" applyFill="1" applyBorder="1" applyAlignment="1" applyProtection="1">
      <alignment horizontal="center"/>
      <protection/>
    </xf>
    <xf numFmtId="165" fontId="24" fillId="49" borderId="32" xfId="0" applyNumberFormat="1" applyFont="1" applyFill="1" applyBorder="1" applyAlignment="1" applyProtection="1">
      <alignment horizontal="center"/>
      <protection/>
    </xf>
    <xf numFmtId="165" fontId="24" fillId="49" borderId="0" xfId="0" applyNumberFormat="1" applyFont="1" applyFill="1" applyBorder="1" applyAlignment="1" applyProtection="1">
      <alignment horizontal="center"/>
      <protection/>
    </xf>
    <xf numFmtId="165" fontId="24" fillId="49" borderId="46" xfId="0" applyNumberFormat="1" applyFont="1" applyFill="1" applyBorder="1" applyAlignment="1" applyProtection="1">
      <alignment horizontal="center"/>
      <protection/>
    </xf>
    <xf numFmtId="165" fontId="24" fillId="49" borderId="28" xfId="0" applyNumberFormat="1" applyFont="1" applyFill="1" applyBorder="1" applyAlignment="1" applyProtection="1">
      <alignment horizontal="center"/>
      <protection/>
    </xf>
    <xf numFmtId="165" fontId="24" fillId="49" borderId="29" xfId="0" applyNumberFormat="1" applyFont="1" applyFill="1" applyBorder="1" applyAlignment="1" applyProtection="1">
      <alignment horizontal="center"/>
      <protection/>
    </xf>
    <xf numFmtId="165" fontId="24" fillId="49" borderId="30" xfId="0" applyNumberFormat="1" applyFont="1" applyFill="1" applyBorder="1" applyAlignment="1" applyProtection="1">
      <alignment horizontal="center"/>
      <protection/>
    </xf>
    <xf numFmtId="165" fontId="24" fillId="37" borderId="37" xfId="0" applyNumberFormat="1" applyFont="1" applyFill="1" applyBorder="1" applyAlignment="1" applyProtection="1">
      <alignment horizontal="center"/>
      <protection/>
    </xf>
    <xf numFmtId="165" fontId="24" fillId="37" borderId="39" xfId="0" applyNumberFormat="1" applyFont="1" applyFill="1" applyBorder="1" applyAlignment="1" applyProtection="1">
      <alignment horizontal="center"/>
      <protection/>
    </xf>
    <xf numFmtId="165" fontId="24" fillId="37" borderId="38" xfId="0" applyNumberFormat="1" applyFont="1" applyFill="1" applyBorder="1" applyAlignment="1" applyProtection="1">
      <alignment horizontal="center"/>
      <protection/>
    </xf>
    <xf numFmtId="165" fontId="24" fillId="39" borderId="25" xfId="0" applyNumberFormat="1" applyFont="1" applyFill="1" applyBorder="1" applyAlignment="1" applyProtection="1">
      <alignment horizontal="center"/>
      <protection/>
    </xf>
    <xf numFmtId="165" fontId="24" fillId="39" borderId="27" xfId="0" applyNumberFormat="1" applyFont="1" applyFill="1" applyBorder="1" applyAlignment="1" applyProtection="1">
      <alignment horizontal="center"/>
      <protection/>
    </xf>
    <xf numFmtId="168" fontId="5" fillId="0" borderId="60" xfId="0" applyNumberFormat="1" applyFont="1" applyBorder="1" applyAlignment="1">
      <alignment horizontal="left"/>
    </xf>
    <xf numFmtId="168" fontId="5" fillId="0" borderId="61" xfId="0" applyNumberFormat="1" applyFont="1" applyBorder="1" applyAlignment="1">
      <alignment horizontal="left"/>
    </xf>
    <xf numFmtId="168" fontId="5" fillId="0" borderId="62" xfId="0" applyNumberFormat="1" applyFont="1" applyBorder="1" applyAlignment="1">
      <alignment horizontal="left"/>
    </xf>
    <xf numFmtId="168" fontId="5" fillId="0" borderId="58" xfId="0" applyNumberFormat="1" applyFont="1" applyBorder="1" applyAlignment="1">
      <alignment horizontal="left"/>
    </xf>
    <xf numFmtId="168" fontId="5" fillId="0" borderId="52" xfId="0" applyNumberFormat="1" applyFont="1" applyBorder="1" applyAlignment="1">
      <alignment horizontal="left"/>
    </xf>
    <xf numFmtId="168" fontId="5" fillId="0" borderId="50" xfId="0" applyNumberFormat="1" applyFont="1" applyBorder="1" applyAlignment="1">
      <alignment horizontal="left"/>
    </xf>
    <xf numFmtId="0" fontId="17" fillId="38" borderId="10" xfId="0" applyFont="1" applyFill="1" applyBorder="1" applyAlignment="1" applyProtection="1">
      <alignment horizontal="left"/>
      <protection/>
    </xf>
    <xf numFmtId="0" fontId="17" fillId="38" borderId="0" xfId="0" applyFont="1" applyFill="1" applyBorder="1" applyAlignment="1" applyProtection="1">
      <alignment horizontal="center"/>
      <protection/>
    </xf>
    <xf numFmtId="0" fontId="5" fillId="36" borderId="37" xfId="0" applyFont="1" applyFill="1" applyBorder="1" applyAlignment="1" applyProtection="1">
      <alignment horizontal="center"/>
      <protection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52" xfId="0" applyFont="1" applyFill="1" applyBorder="1" applyAlignment="1">
      <alignment horizontal="center"/>
    </xf>
    <xf numFmtId="0" fontId="17" fillId="38" borderId="50" xfId="0" applyFont="1" applyFill="1" applyBorder="1" applyAlignment="1">
      <alignment horizontal="center"/>
    </xf>
    <xf numFmtId="0" fontId="17" fillId="47" borderId="11" xfId="0" applyFont="1" applyFill="1" applyBorder="1" applyAlignment="1">
      <alignment horizontal="center"/>
    </xf>
    <xf numFmtId="0" fontId="17" fillId="47" borderId="52" xfId="0" applyFont="1" applyFill="1" applyBorder="1" applyAlignment="1">
      <alignment horizontal="center"/>
    </xf>
    <xf numFmtId="0" fontId="17" fillId="47" borderId="50" xfId="0" applyFont="1" applyFill="1" applyBorder="1" applyAlignment="1">
      <alignment horizontal="center"/>
    </xf>
    <xf numFmtId="0" fontId="17" fillId="0" borderId="11" xfId="0" applyFont="1" applyBorder="1" applyAlignment="1" applyProtection="1">
      <alignment horizontal="left"/>
      <protection/>
    </xf>
    <xf numFmtId="0" fontId="17" fillId="0" borderId="52" xfId="0" applyFont="1" applyBorder="1" applyAlignment="1" applyProtection="1">
      <alignment horizontal="left"/>
      <protection/>
    </xf>
    <xf numFmtId="0" fontId="17" fillId="0" borderId="50" xfId="0" applyFont="1" applyBorder="1" applyAlignment="1" applyProtection="1">
      <alignment horizontal="left"/>
      <protection/>
    </xf>
    <xf numFmtId="0" fontId="17" fillId="38" borderId="11" xfId="0" applyFont="1" applyFill="1" applyBorder="1" applyAlignment="1" applyProtection="1">
      <alignment horizontal="center"/>
      <protection/>
    </xf>
    <xf numFmtId="0" fontId="17" fillId="38" borderId="52" xfId="0" applyFont="1" applyFill="1" applyBorder="1" applyAlignment="1" applyProtection="1">
      <alignment horizontal="center"/>
      <protection/>
    </xf>
    <xf numFmtId="0" fontId="17" fillId="38" borderId="50" xfId="0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 quotePrefix="1">
      <alignment horizontal="center"/>
      <protection/>
    </xf>
    <xf numFmtId="0" fontId="17" fillId="33" borderId="46" xfId="0" applyFont="1" applyFill="1" applyBorder="1" applyAlignment="1" applyProtection="1" quotePrefix="1">
      <alignment horizontal="center"/>
      <protection/>
    </xf>
    <xf numFmtId="168" fontId="24" fillId="33" borderId="0" xfId="0" applyNumberFormat="1" applyFont="1" applyFill="1" applyAlignment="1" applyProtection="1">
      <alignment horizontal="center"/>
      <protection/>
    </xf>
    <xf numFmtId="168" fontId="24" fillId="49" borderId="37" xfId="0" applyNumberFormat="1" applyFont="1" applyFill="1" applyBorder="1" applyAlignment="1" applyProtection="1">
      <alignment horizontal="left"/>
      <protection/>
    </xf>
    <xf numFmtId="168" fontId="24" fillId="49" borderId="38" xfId="0" applyNumberFormat="1" applyFont="1" applyFill="1" applyBorder="1" applyAlignment="1" applyProtection="1">
      <alignment horizontal="left"/>
      <protection/>
    </xf>
    <xf numFmtId="168" fontId="24" fillId="49" borderId="39" xfId="0" applyNumberFormat="1" applyFont="1" applyFill="1" applyBorder="1" applyAlignment="1" applyProtection="1">
      <alignment horizontal="left"/>
      <protection/>
    </xf>
    <xf numFmtId="168" fontId="36" fillId="0" borderId="11" xfId="0" applyNumberFormat="1" applyFont="1" applyBorder="1" applyAlignment="1">
      <alignment horizontal="left"/>
    </xf>
    <xf numFmtId="168" fontId="36" fillId="0" borderId="52" xfId="0" applyNumberFormat="1" applyFont="1" applyBorder="1" applyAlignment="1">
      <alignment horizontal="left"/>
    </xf>
    <xf numFmtId="168" fontId="36" fillId="0" borderId="10" xfId="0" applyNumberFormat="1" applyFont="1" applyBorder="1" applyAlignment="1">
      <alignment horizontal="left"/>
    </xf>
    <xf numFmtId="168" fontId="35" fillId="0" borderId="11" xfId="0" applyNumberFormat="1" applyFont="1" applyBorder="1" applyAlignment="1">
      <alignment horizontal="center"/>
    </xf>
    <xf numFmtId="168" fontId="35" fillId="0" borderId="52" xfId="0" applyNumberFormat="1" applyFont="1" applyBorder="1" applyAlignment="1">
      <alignment horizontal="center"/>
    </xf>
    <xf numFmtId="168" fontId="35" fillId="0" borderId="50" xfId="0" applyNumberFormat="1" applyFont="1" applyBorder="1" applyAlignment="1">
      <alignment horizontal="center"/>
    </xf>
    <xf numFmtId="168" fontId="25" fillId="0" borderId="0" xfId="0" applyNumberFormat="1" applyFont="1" applyAlignment="1">
      <alignment horizontal="center"/>
    </xf>
    <xf numFmtId="168" fontId="35" fillId="0" borderId="10" xfId="0" applyNumberFormat="1" applyFont="1" applyBorder="1" applyAlignment="1">
      <alignment horizontal="left"/>
    </xf>
    <xf numFmtId="168" fontId="35" fillId="0" borderId="11" xfId="0" applyNumberFormat="1" applyFont="1" applyBorder="1" applyAlignment="1">
      <alignment horizontal="left"/>
    </xf>
    <xf numFmtId="0" fontId="118" fillId="0" borderId="10" xfId="0" applyFont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94" fillId="33" borderId="0" xfId="0" applyFont="1" applyFill="1" applyAlignment="1">
      <alignment horizontal="center"/>
    </xf>
    <xf numFmtId="165" fontId="95" fillId="0" borderId="11" xfId="0" applyNumberFormat="1" applyFont="1" applyBorder="1" applyAlignment="1">
      <alignment horizontal="left"/>
    </xf>
    <xf numFmtId="165" fontId="95" fillId="0" borderId="52" xfId="0" applyNumberFormat="1" applyFont="1" applyBorder="1" applyAlignment="1">
      <alignment horizontal="left"/>
    </xf>
    <xf numFmtId="165" fontId="95" fillId="0" borderId="50" xfId="0" applyNumberFormat="1" applyFont="1" applyBorder="1" applyAlignment="1">
      <alignment horizontal="left"/>
    </xf>
    <xf numFmtId="165" fontId="119" fillId="0" borderId="11" xfId="0" applyNumberFormat="1" applyFont="1" applyBorder="1" applyAlignment="1">
      <alignment horizontal="left"/>
    </xf>
    <xf numFmtId="165" fontId="119" fillId="0" borderId="52" xfId="0" applyNumberFormat="1" applyFont="1" applyBorder="1" applyAlignment="1">
      <alignment horizontal="left"/>
    </xf>
    <xf numFmtId="165" fontId="119" fillId="0" borderId="50" xfId="0" applyNumberFormat="1" applyFont="1" applyBorder="1" applyAlignment="1">
      <alignment horizontal="left"/>
    </xf>
    <xf numFmtId="168" fontId="44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68" fontId="120" fillId="0" borderId="24" xfId="0" applyNumberFormat="1" applyFont="1" applyBorder="1" applyAlignment="1">
      <alignment horizontal="center" wrapText="1"/>
    </xf>
    <xf numFmtId="168" fontId="120" fillId="0" borderId="12" xfId="0" applyNumberFormat="1" applyFont="1" applyBorder="1" applyAlignment="1">
      <alignment horizontal="center" wrapText="1"/>
    </xf>
    <xf numFmtId="165" fontId="121" fillId="0" borderId="24" xfId="0" applyNumberFormat="1" applyFont="1" applyBorder="1" applyAlignment="1">
      <alignment horizontal="center"/>
    </xf>
    <xf numFmtId="165" fontId="121" fillId="0" borderId="12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165" fontId="121" fillId="33" borderId="24" xfId="0" applyNumberFormat="1" applyFont="1" applyFill="1" applyBorder="1" applyAlignment="1">
      <alignment horizontal="center"/>
    </xf>
    <xf numFmtId="165" fontId="121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0</xdr:rowOff>
    </xdr:from>
    <xdr:to>
      <xdr:col>5</xdr:col>
      <xdr:colOff>257175</xdr:colOff>
      <xdr:row>10</xdr:row>
      <xdr:rowOff>19050</xdr:rowOff>
    </xdr:to>
    <xdr:pic>
      <xdr:nvPicPr>
        <xdr:cNvPr id="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61950"/>
          <a:ext cx="3752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4</xdr:row>
      <xdr:rowOff>95250</xdr:rowOff>
    </xdr:from>
    <xdr:to>
      <xdr:col>3</xdr:col>
      <xdr:colOff>981075</xdr:colOff>
      <xdr:row>6</xdr:row>
      <xdr:rowOff>28575</xdr:rowOff>
    </xdr:to>
    <xdr:sp>
      <xdr:nvSpPr>
        <xdr:cNvPr id="2" name="Multiplicar 18"/>
        <xdr:cNvSpPr>
          <a:spLocks/>
        </xdr:cNvSpPr>
      </xdr:nvSpPr>
      <xdr:spPr>
        <a:xfrm>
          <a:off x="6096000" y="838200"/>
          <a:ext cx="314325" cy="323850"/>
        </a:xfrm>
        <a:custGeom>
          <a:pathLst>
            <a:path h="330180" w="321732">
              <a:moveTo>
                <a:pt x="50174" y="105706"/>
              </a:moveTo>
              <a:lnTo>
                <a:pt x="104370" y="52896"/>
              </a:lnTo>
              <a:lnTo>
                <a:pt x="160866" y="110875"/>
              </a:lnTo>
              <a:lnTo>
                <a:pt x="217362" y="52896"/>
              </a:lnTo>
              <a:lnTo>
                <a:pt x="271558" y="105706"/>
              </a:lnTo>
              <a:lnTo>
                <a:pt x="213694" y="165090"/>
              </a:lnTo>
              <a:lnTo>
                <a:pt x="271558" y="224474"/>
              </a:lnTo>
              <a:lnTo>
                <a:pt x="217362" y="277284"/>
              </a:lnTo>
              <a:lnTo>
                <a:pt x="160866" y="219305"/>
              </a:lnTo>
              <a:lnTo>
                <a:pt x="104370" y="277284"/>
              </a:lnTo>
              <a:lnTo>
                <a:pt x="50174" y="224474"/>
              </a:lnTo>
              <a:lnTo>
                <a:pt x="108038" y="165090"/>
              </a:lnTo>
              <a:lnTo>
                <a:pt x="50174" y="105706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15</xdr:col>
      <xdr:colOff>247650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0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6</xdr:col>
      <xdr:colOff>209550</xdr:colOff>
      <xdr:row>5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0"/>
          <a:ext cx="2476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9525</xdr:rowOff>
    </xdr:from>
    <xdr:to>
      <xdr:col>7</xdr:col>
      <xdr:colOff>466725</xdr:colOff>
      <xdr:row>14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00175"/>
          <a:ext cx="34861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9525</xdr:rowOff>
    </xdr:from>
    <xdr:to>
      <xdr:col>0</xdr:col>
      <xdr:colOff>219075</xdr:colOff>
      <xdr:row>12</xdr:row>
      <xdr:rowOff>190500</xdr:rowOff>
    </xdr:to>
    <xdr:sp>
      <xdr:nvSpPr>
        <xdr:cNvPr id="3" name="Rectángulo 3"/>
        <xdr:cNvSpPr>
          <a:spLocks/>
        </xdr:cNvSpPr>
      </xdr:nvSpPr>
      <xdr:spPr>
        <a:xfrm>
          <a:off x="19050" y="2771775"/>
          <a:ext cx="209550" cy="180975"/>
        </a:xfrm>
        <a:prstGeom prst="rect">
          <a:avLst/>
        </a:prstGeom>
        <a:solidFill>
          <a:srgbClr val="7030A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523875</xdr:rowOff>
    </xdr:from>
    <xdr:to>
      <xdr:col>0</xdr:col>
      <xdr:colOff>466725</xdr:colOff>
      <xdr:row>15</xdr:row>
      <xdr:rowOff>19050</xdr:rowOff>
    </xdr:to>
    <xdr:sp>
      <xdr:nvSpPr>
        <xdr:cNvPr id="4" name="Flecha izquierda 4"/>
        <xdr:cNvSpPr>
          <a:spLocks/>
        </xdr:cNvSpPr>
      </xdr:nvSpPr>
      <xdr:spPr>
        <a:xfrm>
          <a:off x="19050" y="3486150"/>
          <a:ext cx="457200" cy="238125"/>
        </a:xfrm>
        <a:prstGeom prst="leftArrow">
          <a:avLst>
            <a:gd name="adj" fmla="val -25412"/>
          </a:avLst>
        </a:prstGeom>
        <a:solidFill>
          <a:srgbClr val="7030A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0</xdr:row>
      <xdr:rowOff>142875</xdr:rowOff>
    </xdr:from>
    <xdr:to>
      <xdr:col>9</xdr:col>
      <xdr:colOff>619125</xdr:colOff>
      <xdr:row>5</xdr:row>
      <xdr:rowOff>57150</xdr:rowOff>
    </xdr:to>
    <xdr:pic>
      <xdr:nvPicPr>
        <xdr:cNvPr id="5" name="Imagen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42875"/>
          <a:ext cx="2600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685800</xdr:colOff>
      <xdr:row>2</xdr:row>
      <xdr:rowOff>0</xdr:rowOff>
    </xdr:from>
    <xdr:to>
      <xdr:col>7</xdr:col>
      <xdr:colOff>171450</xdr:colOff>
      <xdr:row>3</xdr:row>
      <xdr:rowOff>19050</xdr:rowOff>
    </xdr:to>
    <xdr:sp>
      <xdr:nvSpPr>
        <xdr:cNvPr id="6" name="Multiplicar 47"/>
        <xdr:cNvSpPr>
          <a:spLocks/>
        </xdr:cNvSpPr>
      </xdr:nvSpPr>
      <xdr:spPr>
        <a:xfrm>
          <a:off x="7505700" y="476250"/>
          <a:ext cx="247650" cy="247650"/>
        </a:xfrm>
        <a:custGeom>
          <a:pathLst>
            <a:path h="246360" w="251460">
              <a:moveTo>
                <a:pt x="40119" y="79865"/>
              </a:moveTo>
              <a:lnTo>
                <a:pt x="80670" y="38474"/>
              </a:lnTo>
              <a:lnTo>
                <a:pt x="125730" y="82621"/>
              </a:lnTo>
              <a:lnTo>
                <a:pt x="170790" y="38474"/>
              </a:lnTo>
              <a:lnTo>
                <a:pt x="211341" y="79865"/>
              </a:lnTo>
              <a:lnTo>
                <a:pt x="167129" y="123180"/>
              </a:lnTo>
              <a:lnTo>
                <a:pt x="211341" y="166495"/>
              </a:lnTo>
              <a:lnTo>
                <a:pt x="170790" y="207886"/>
              </a:lnTo>
              <a:lnTo>
                <a:pt x="125730" y="163739"/>
              </a:lnTo>
              <a:lnTo>
                <a:pt x="80670" y="207886"/>
              </a:lnTo>
              <a:lnTo>
                <a:pt x="40119" y="166495"/>
              </a:lnTo>
              <a:lnTo>
                <a:pt x="84331" y="123180"/>
              </a:lnTo>
              <a:lnTo>
                <a:pt x="40119" y="7986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142875</xdr:rowOff>
    </xdr:from>
    <xdr:to>
      <xdr:col>9</xdr:col>
      <xdr:colOff>495300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3375"/>
          <a:ext cx="1752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133350</xdr:rowOff>
    </xdr:from>
    <xdr:to>
      <xdr:col>7</xdr:col>
      <xdr:colOff>381000</xdr:colOff>
      <xdr:row>3</xdr:row>
      <xdr:rowOff>66675</xdr:rowOff>
    </xdr:to>
    <xdr:sp>
      <xdr:nvSpPr>
        <xdr:cNvPr id="2" name="Multiplicar 2"/>
        <xdr:cNvSpPr>
          <a:spLocks/>
        </xdr:cNvSpPr>
      </xdr:nvSpPr>
      <xdr:spPr>
        <a:xfrm>
          <a:off x="8039100" y="514350"/>
          <a:ext cx="152400" cy="123825"/>
        </a:xfrm>
        <a:custGeom>
          <a:pathLst>
            <a:path h="116820" w="160020">
              <a:moveTo>
                <a:pt x="30332" y="39153"/>
              </a:moveTo>
              <a:lnTo>
                <a:pt x="46533" y="16961"/>
              </a:lnTo>
              <a:lnTo>
                <a:pt x="80010" y="41401"/>
              </a:lnTo>
              <a:lnTo>
                <a:pt x="113487" y="16961"/>
              </a:lnTo>
              <a:lnTo>
                <a:pt x="129688" y="39153"/>
              </a:lnTo>
              <a:lnTo>
                <a:pt x="103309" y="58410"/>
              </a:lnTo>
              <a:lnTo>
                <a:pt x="129688" y="77667"/>
              </a:lnTo>
              <a:lnTo>
                <a:pt x="113487" y="99859"/>
              </a:lnTo>
              <a:lnTo>
                <a:pt x="80010" y="75419"/>
              </a:lnTo>
              <a:lnTo>
                <a:pt x="46533" y="99859"/>
              </a:lnTo>
              <a:lnTo>
                <a:pt x="30332" y="77667"/>
              </a:lnTo>
              <a:lnTo>
                <a:pt x="56711" y="58410"/>
              </a:lnTo>
              <a:lnTo>
                <a:pt x="30332" y="39153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9525</xdr:rowOff>
    </xdr:from>
    <xdr:to>
      <xdr:col>6</xdr:col>
      <xdr:colOff>533400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525"/>
          <a:ext cx="2781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2</xdr:row>
      <xdr:rowOff>47625</xdr:rowOff>
    </xdr:from>
    <xdr:to>
      <xdr:col>5</xdr:col>
      <xdr:colOff>590550</xdr:colOff>
      <xdr:row>2</xdr:row>
      <xdr:rowOff>66675</xdr:rowOff>
    </xdr:to>
    <xdr:sp>
      <xdr:nvSpPr>
        <xdr:cNvPr id="2" name="Conector recto de flecha 3"/>
        <xdr:cNvSpPr>
          <a:spLocks/>
        </xdr:cNvSpPr>
      </xdr:nvSpPr>
      <xdr:spPr>
        <a:xfrm flipV="1">
          <a:off x="5800725" y="428625"/>
          <a:ext cx="1438275" cy="19050"/>
        </a:xfrm>
        <a:prstGeom prst="straightConnector1">
          <a:avLst/>
        </a:prstGeom>
        <a:noFill/>
        <a:ln w="57150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10</xdr:row>
      <xdr:rowOff>142875</xdr:rowOff>
    </xdr:from>
    <xdr:to>
      <xdr:col>7</xdr:col>
      <xdr:colOff>657225</xdr:colOff>
      <xdr:row>17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90725"/>
          <a:ext cx="2771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12</xdr:row>
      <xdr:rowOff>171450</xdr:rowOff>
    </xdr:from>
    <xdr:to>
      <xdr:col>7</xdr:col>
      <xdr:colOff>85725</xdr:colOff>
      <xdr:row>13</xdr:row>
      <xdr:rowOff>171450</xdr:rowOff>
    </xdr:to>
    <xdr:sp>
      <xdr:nvSpPr>
        <xdr:cNvPr id="2" name="Multiplicar 2"/>
        <xdr:cNvSpPr>
          <a:spLocks/>
        </xdr:cNvSpPr>
      </xdr:nvSpPr>
      <xdr:spPr>
        <a:xfrm>
          <a:off x="6858000" y="2400300"/>
          <a:ext cx="209550" cy="190500"/>
        </a:xfrm>
        <a:custGeom>
          <a:pathLst>
            <a:path h="184554" w="227753">
              <a:moveTo>
                <a:pt x="41037" y="61188"/>
              </a:moveTo>
              <a:lnTo>
                <a:pt x="68365" y="27463"/>
              </a:lnTo>
              <a:lnTo>
                <a:pt x="113877" y="64342"/>
              </a:lnTo>
              <a:lnTo>
                <a:pt x="159388" y="27463"/>
              </a:lnTo>
              <a:lnTo>
                <a:pt x="186716" y="61188"/>
              </a:lnTo>
              <a:lnTo>
                <a:pt x="148350" y="92277"/>
              </a:lnTo>
              <a:lnTo>
                <a:pt x="186716" y="123366"/>
              </a:lnTo>
              <a:lnTo>
                <a:pt x="159388" y="157091"/>
              </a:lnTo>
              <a:lnTo>
                <a:pt x="113877" y="120212"/>
              </a:lnTo>
              <a:lnTo>
                <a:pt x="68365" y="157091"/>
              </a:lnTo>
              <a:lnTo>
                <a:pt x="41037" y="123366"/>
              </a:lnTo>
              <a:lnTo>
                <a:pt x="79403" y="92277"/>
              </a:lnTo>
              <a:lnTo>
                <a:pt x="41037" y="61188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19050</xdr:rowOff>
    </xdr:from>
    <xdr:to>
      <xdr:col>8</xdr:col>
      <xdr:colOff>533400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9050"/>
          <a:ext cx="2809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</xdr:row>
      <xdr:rowOff>47625</xdr:rowOff>
    </xdr:from>
    <xdr:to>
      <xdr:col>5</xdr:col>
      <xdr:colOff>752475</xdr:colOff>
      <xdr:row>9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047750"/>
          <a:ext cx="2857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</xdr:row>
      <xdr:rowOff>133350</xdr:rowOff>
    </xdr:from>
    <xdr:to>
      <xdr:col>7</xdr:col>
      <xdr:colOff>104775</xdr:colOff>
      <xdr:row>5</xdr:row>
      <xdr:rowOff>76200</xdr:rowOff>
    </xdr:to>
    <xdr:sp>
      <xdr:nvSpPr>
        <xdr:cNvPr id="3" name="Elipse 2"/>
        <xdr:cNvSpPr>
          <a:spLocks/>
        </xdr:cNvSpPr>
      </xdr:nvSpPr>
      <xdr:spPr>
        <a:xfrm>
          <a:off x="5791200" y="561975"/>
          <a:ext cx="2295525" cy="51435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GUIA DE APLICACIÓN DE LAS N.C. S/ AxI (RT 6 Y NIC 29). PRIMERA PARTE. FACPCE. SECCION C2</a:t>
          </a:r>
        </a:p>
      </xdr:txBody>
    </xdr:sp>
    <xdr:clientData/>
  </xdr:twoCellAnchor>
  <xdr:twoCellAnchor>
    <xdr:from>
      <xdr:col>7</xdr:col>
      <xdr:colOff>542925</xdr:colOff>
      <xdr:row>0</xdr:row>
      <xdr:rowOff>95250</xdr:rowOff>
    </xdr:from>
    <xdr:to>
      <xdr:col>7</xdr:col>
      <xdr:colOff>762000</xdr:colOff>
      <xdr:row>1</xdr:row>
      <xdr:rowOff>47625</xdr:rowOff>
    </xdr:to>
    <xdr:sp>
      <xdr:nvSpPr>
        <xdr:cNvPr id="4" name="Multiplicar 4"/>
        <xdr:cNvSpPr>
          <a:spLocks/>
        </xdr:cNvSpPr>
      </xdr:nvSpPr>
      <xdr:spPr>
        <a:xfrm>
          <a:off x="8524875" y="95250"/>
          <a:ext cx="219075" cy="190500"/>
        </a:xfrm>
        <a:custGeom>
          <a:pathLst>
            <a:path h="184554" w="227753">
              <a:moveTo>
                <a:pt x="41037" y="61188"/>
              </a:moveTo>
              <a:lnTo>
                <a:pt x="68365" y="27463"/>
              </a:lnTo>
              <a:lnTo>
                <a:pt x="113877" y="64342"/>
              </a:lnTo>
              <a:lnTo>
                <a:pt x="159388" y="27463"/>
              </a:lnTo>
              <a:lnTo>
                <a:pt x="186716" y="61188"/>
              </a:lnTo>
              <a:lnTo>
                <a:pt x="148350" y="92277"/>
              </a:lnTo>
              <a:lnTo>
                <a:pt x="186716" y="123366"/>
              </a:lnTo>
              <a:lnTo>
                <a:pt x="159388" y="157091"/>
              </a:lnTo>
              <a:lnTo>
                <a:pt x="113877" y="120212"/>
              </a:lnTo>
              <a:lnTo>
                <a:pt x="68365" y="157091"/>
              </a:lnTo>
              <a:lnTo>
                <a:pt x="41037" y="123366"/>
              </a:lnTo>
              <a:lnTo>
                <a:pt x="79403" y="92277"/>
              </a:lnTo>
              <a:lnTo>
                <a:pt x="41037" y="61188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1038225</xdr:colOff>
      <xdr:row>1</xdr:row>
      <xdr:rowOff>0</xdr:rowOff>
    </xdr:from>
    <xdr:to>
      <xdr:col>7</xdr:col>
      <xdr:colOff>590550</xdr:colOff>
      <xdr:row>1</xdr:row>
      <xdr:rowOff>28575</xdr:rowOff>
    </xdr:to>
    <xdr:sp>
      <xdr:nvSpPr>
        <xdr:cNvPr id="5" name="Conector recto de flecha 6"/>
        <xdr:cNvSpPr>
          <a:spLocks/>
        </xdr:cNvSpPr>
      </xdr:nvSpPr>
      <xdr:spPr>
        <a:xfrm flipH="1">
          <a:off x="7134225" y="238125"/>
          <a:ext cx="1438275" cy="285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15</xdr:row>
      <xdr:rowOff>161925</xdr:rowOff>
    </xdr:from>
    <xdr:to>
      <xdr:col>9</xdr:col>
      <xdr:colOff>38100</xdr:colOff>
      <xdr:row>23</xdr:row>
      <xdr:rowOff>76200</xdr:rowOff>
    </xdr:to>
    <xdr:sp>
      <xdr:nvSpPr>
        <xdr:cNvPr id="6" name="Rectángulo 5"/>
        <xdr:cNvSpPr>
          <a:spLocks/>
        </xdr:cNvSpPr>
      </xdr:nvSpPr>
      <xdr:spPr>
        <a:xfrm>
          <a:off x="6362700" y="3352800"/>
          <a:ext cx="3200400" cy="16859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CUENTAS DE PN AL CIERRE ANTERIOR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MOMENDA DE CIERRE ANTERIOR.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SOCIAL ................................$       5.000,00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AJUSTE DEL CAPITAL .........................$      11.233,02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RESERVA LEGAL .................................$        1.000,00
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SALDO DE REMEDICION RT 48 ...........$                0,00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RES. NO ASIG 214.500,00 +118516,98$   333.016,98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................................................$    350.250,00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38100</xdr:rowOff>
    </xdr:from>
    <xdr:to>
      <xdr:col>8</xdr:col>
      <xdr:colOff>762000</xdr:colOff>
      <xdr:row>4</xdr:row>
      <xdr:rowOff>209550</xdr:rowOff>
    </xdr:to>
    <xdr:sp>
      <xdr:nvSpPr>
        <xdr:cNvPr id="1" name="Rectángulo 1"/>
        <xdr:cNvSpPr>
          <a:spLocks/>
        </xdr:cNvSpPr>
      </xdr:nvSpPr>
      <xdr:spPr>
        <a:xfrm>
          <a:off x="4895850" y="38100"/>
          <a:ext cx="4038600" cy="1085850"/>
        </a:xfrm>
        <a:prstGeom prst="rect">
          <a:avLst/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ENTES PEQUEÑO SE PERMITE: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 + C - EF = CV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AHORA TODO EN MONEDA DE CIERRE.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EL CV ESTARA EN MONEDA DE CIERRE Y TENDRA INCLUIDO RT DE BIENES DE CAMBIO. POR ESO SERA DIFERENTE AL DETERMINADO EN EL CASO ( A VALORES CORRIENTES)</a:t>
          </a:r>
        </a:p>
      </xdr:txBody>
    </xdr:sp>
    <xdr:clientData/>
  </xdr:twoCellAnchor>
  <xdr:twoCellAnchor>
    <xdr:from>
      <xdr:col>0</xdr:col>
      <xdr:colOff>838200</xdr:colOff>
      <xdr:row>31</xdr:row>
      <xdr:rowOff>171450</xdr:rowOff>
    </xdr:from>
    <xdr:to>
      <xdr:col>5</xdr:col>
      <xdr:colOff>419100</xdr:colOff>
      <xdr:row>35</xdr:row>
      <xdr:rowOff>76200</xdr:rowOff>
    </xdr:to>
    <xdr:sp>
      <xdr:nvSpPr>
        <xdr:cNvPr id="2" name="Rectángulo redondeado 2"/>
        <xdr:cNvSpPr>
          <a:spLocks/>
        </xdr:cNvSpPr>
      </xdr:nvSpPr>
      <xdr:spPr>
        <a:xfrm>
          <a:off x="838200" y="7343775"/>
          <a:ext cx="4048125" cy="7620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MUCHO MAS SENCILLO: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EF ………………………………….........................90.000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MENOS SALDO CONT. HETEROGENEO ...…58.000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RFT ……………………………….........………..……..32.000</a:t>
          </a:r>
        </a:p>
      </xdr:txBody>
    </xdr:sp>
    <xdr:clientData/>
  </xdr:twoCellAnchor>
  <xdr:twoCellAnchor editAs="oneCell">
    <xdr:from>
      <xdr:col>8</xdr:col>
      <xdr:colOff>1257300</xdr:colOff>
      <xdr:row>0</xdr:row>
      <xdr:rowOff>0</xdr:rowOff>
    </xdr:from>
    <xdr:to>
      <xdr:col>12</xdr:col>
      <xdr:colOff>590550</xdr:colOff>
      <xdr:row>5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666750</xdr:colOff>
      <xdr:row>1</xdr:row>
      <xdr:rowOff>133350</xdr:rowOff>
    </xdr:from>
    <xdr:to>
      <xdr:col>11</xdr:col>
      <xdr:colOff>885825</xdr:colOff>
      <xdr:row>2</xdr:row>
      <xdr:rowOff>104775</xdr:rowOff>
    </xdr:to>
    <xdr:sp>
      <xdr:nvSpPr>
        <xdr:cNvPr id="4" name="Multiplicar 4"/>
        <xdr:cNvSpPr>
          <a:spLocks/>
        </xdr:cNvSpPr>
      </xdr:nvSpPr>
      <xdr:spPr>
        <a:xfrm>
          <a:off x="13230225" y="361950"/>
          <a:ext cx="219075" cy="200025"/>
        </a:xfrm>
        <a:custGeom>
          <a:pathLst>
            <a:path h="184554" w="227753">
              <a:moveTo>
                <a:pt x="41037" y="61188"/>
              </a:moveTo>
              <a:lnTo>
                <a:pt x="68365" y="27463"/>
              </a:lnTo>
              <a:lnTo>
                <a:pt x="113877" y="64342"/>
              </a:lnTo>
              <a:lnTo>
                <a:pt x="159388" y="27463"/>
              </a:lnTo>
              <a:lnTo>
                <a:pt x="186716" y="61188"/>
              </a:lnTo>
              <a:lnTo>
                <a:pt x="148350" y="92277"/>
              </a:lnTo>
              <a:lnTo>
                <a:pt x="186716" y="123366"/>
              </a:lnTo>
              <a:lnTo>
                <a:pt x="159388" y="157091"/>
              </a:lnTo>
              <a:lnTo>
                <a:pt x="113877" y="120212"/>
              </a:lnTo>
              <a:lnTo>
                <a:pt x="68365" y="157091"/>
              </a:lnTo>
              <a:lnTo>
                <a:pt x="41037" y="123366"/>
              </a:lnTo>
              <a:lnTo>
                <a:pt x="79403" y="92277"/>
              </a:lnTo>
              <a:lnTo>
                <a:pt x="41037" y="61188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1076325</xdr:colOff>
      <xdr:row>1</xdr:row>
      <xdr:rowOff>171450</xdr:rowOff>
    </xdr:from>
    <xdr:to>
      <xdr:col>11</xdr:col>
      <xdr:colOff>514350</xdr:colOff>
      <xdr:row>1</xdr:row>
      <xdr:rowOff>200025</xdr:rowOff>
    </xdr:to>
    <xdr:sp>
      <xdr:nvSpPr>
        <xdr:cNvPr id="5" name="Conector recto de flecha 5"/>
        <xdr:cNvSpPr>
          <a:spLocks/>
        </xdr:cNvSpPr>
      </xdr:nvSpPr>
      <xdr:spPr>
        <a:xfrm flipV="1">
          <a:off x="11115675" y="400050"/>
          <a:ext cx="1962150" cy="285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0</xdr:rowOff>
    </xdr:from>
    <xdr:to>
      <xdr:col>10</xdr:col>
      <xdr:colOff>1057275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3695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0</xdr:rowOff>
    </xdr:from>
    <xdr:to>
      <xdr:col>6</xdr:col>
      <xdr:colOff>762000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48</xdr:row>
      <xdr:rowOff>171450</xdr:rowOff>
    </xdr:from>
    <xdr:to>
      <xdr:col>6</xdr:col>
      <xdr:colOff>219075</xdr:colOff>
      <xdr:row>56</xdr:row>
      <xdr:rowOff>152400</xdr:rowOff>
    </xdr:to>
    <xdr:sp>
      <xdr:nvSpPr>
        <xdr:cNvPr id="2" name="Rectángulo 2"/>
        <xdr:cNvSpPr>
          <a:spLocks/>
        </xdr:cNvSpPr>
      </xdr:nvSpPr>
      <xdr:spPr>
        <a:xfrm>
          <a:off x="7134225" y="8877300"/>
          <a:ext cx="2790825" cy="14097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SALDOS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CUENTAS DE PN AL CIERRE ANTERIOR Y SU EVOLUCION  (SIN RESULTADOSDEL EJERCICIO)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MOMENDA DE CIERRE DEL EJERCICIO.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 SOCIAL ................................$       5.000,00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AJ. DEL CAP. 23968,05-.5.000,00.......$     18.968,05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SALDO REMEDICION RT 48 ...............$               0,00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RESERVA LEGAL .................................$        1.476,50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RES. NO ASIG .....................................$   464.279,99</a:t>
          </a:r>
        </a:p>
      </xdr:txBody>
    </xdr:sp>
    <xdr:clientData/>
  </xdr:twoCellAnchor>
  <xdr:twoCellAnchor>
    <xdr:from>
      <xdr:col>4</xdr:col>
      <xdr:colOff>1152525</xdr:colOff>
      <xdr:row>14</xdr:row>
      <xdr:rowOff>142875</xdr:rowOff>
    </xdr:from>
    <xdr:to>
      <xdr:col>8</xdr:col>
      <xdr:colOff>476250</xdr:colOff>
      <xdr:row>22</xdr:row>
      <xdr:rowOff>171450</xdr:rowOff>
    </xdr:to>
    <xdr:sp>
      <xdr:nvSpPr>
        <xdr:cNvPr id="3" name="Rectángulo 3"/>
        <xdr:cNvSpPr>
          <a:spLocks/>
        </xdr:cNvSpPr>
      </xdr:nvSpPr>
      <xdr:spPr>
        <a:xfrm>
          <a:off x="8915400" y="2952750"/>
          <a:ext cx="2847975" cy="14097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HECHO NO CORRESPONDE HACER ESTA ACTUALIZACION, Y ES SOLO PARA MOSTRAR QUE EL SALDO POR REMEDICION RT 48 AL INICIO ES 0 YA QUE FUE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TRANSFERIDO A 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:C1"/>
    </sheetView>
  </sheetViews>
  <sheetFormatPr defaultColWidth="11.421875" defaultRowHeight="15"/>
  <cols>
    <col min="1" max="1" width="49.57421875" style="0" customWidth="1"/>
    <col min="2" max="2" width="15.00390625" style="0" customWidth="1"/>
    <col min="3" max="3" width="16.8515625" style="0" customWidth="1"/>
    <col min="4" max="4" width="38.8515625" style="0" customWidth="1"/>
    <col min="5" max="5" width="13.8515625" style="0" customWidth="1"/>
    <col min="6" max="6" width="13.140625" style="0" customWidth="1"/>
  </cols>
  <sheetData>
    <row r="1" spans="1:7" ht="14.25">
      <c r="A1" s="351" t="s">
        <v>21</v>
      </c>
      <c r="B1" s="351"/>
      <c r="C1" s="351"/>
      <c r="D1" s="220"/>
      <c r="E1" s="220"/>
      <c r="F1" s="220"/>
      <c r="G1" s="220"/>
    </row>
    <row r="2" spans="1:7" ht="14.25">
      <c r="A2" s="351" t="s">
        <v>33</v>
      </c>
      <c r="B2" s="351"/>
      <c r="C2" s="351"/>
      <c r="D2" s="220"/>
      <c r="E2" s="220"/>
      <c r="F2" s="220"/>
      <c r="G2" s="220"/>
    </row>
    <row r="3" spans="1:7" ht="15">
      <c r="A3" s="352" t="s">
        <v>245</v>
      </c>
      <c r="B3" s="352"/>
      <c r="C3" s="352"/>
      <c r="D3" s="220"/>
      <c r="E3" s="220"/>
      <c r="F3" s="220"/>
      <c r="G3" s="220"/>
    </row>
    <row r="4" spans="1:7" ht="15">
      <c r="A4" s="2"/>
      <c r="B4" s="350" t="s">
        <v>24</v>
      </c>
      <c r="C4" s="350"/>
      <c r="D4" s="220"/>
      <c r="E4" s="220"/>
      <c r="F4" s="220"/>
      <c r="G4" s="220"/>
    </row>
    <row r="5" spans="1:7" ht="15">
      <c r="A5" s="2"/>
      <c r="B5" s="3" t="s">
        <v>0</v>
      </c>
      <c r="C5" s="3" t="s">
        <v>1</v>
      </c>
      <c r="D5" s="223"/>
      <c r="E5" s="223"/>
      <c r="F5" s="223"/>
      <c r="G5" s="223"/>
    </row>
    <row r="6" spans="1:3" ht="15.75" customHeight="1">
      <c r="A6" s="2" t="s">
        <v>2</v>
      </c>
      <c r="B6" s="2">
        <v>1000</v>
      </c>
      <c r="C6" s="2"/>
    </row>
    <row r="7" spans="1:3" ht="15">
      <c r="A7" s="2" t="s">
        <v>3</v>
      </c>
      <c r="B7" s="2">
        <v>3500</v>
      </c>
      <c r="C7" s="2"/>
    </row>
    <row r="8" spans="1:3" ht="15">
      <c r="A8" s="2" t="s">
        <v>4</v>
      </c>
      <c r="B8" s="2">
        <v>22000</v>
      </c>
      <c r="C8" s="2"/>
    </row>
    <row r="9" spans="1:3" ht="15">
      <c r="A9" s="2" t="s">
        <v>36</v>
      </c>
      <c r="B9" s="2"/>
      <c r="C9" s="2">
        <v>2000</v>
      </c>
    </row>
    <row r="10" spans="1:3" ht="15">
      <c r="A10" s="2" t="s">
        <v>5</v>
      </c>
      <c r="B10" s="5">
        <v>56000</v>
      </c>
      <c r="C10" s="2"/>
    </row>
    <row r="11" spans="1:3" ht="15">
      <c r="A11" s="2" t="s">
        <v>8</v>
      </c>
      <c r="B11" s="5">
        <v>250000</v>
      </c>
      <c r="C11" s="2"/>
    </row>
    <row r="12" spans="1:3" ht="14.25">
      <c r="A12" s="2" t="s">
        <v>9</v>
      </c>
      <c r="B12" s="2"/>
      <c r="C12" s="5">
        <v>75000</v>
      </c>
    </row>
    <row r="13" spans="1:3" ht="14.25">
      <c r="A13" s="2" t="s">
        <v>6</v>
      </c>
      <c r="B13" s="5">
        <v>200000</v>
      </c>
      <c r="C13" s="2"/>
    </row>
    <row r="14" spans="1:3" ht="12.75" customHeight="1">
      <c r="A14" s="2" t="s">
        <v>7</v>
      </c>
      <c r="B14" s="2"/>
      <c r="C14" s="5">
        <v>200000</v>
      </c>
    </row>
    <row r="15" spans="1:3" ht="14.25" customHeight="1">
      <c r="A15" s="2" t="s">
        <v>10</v>
      </c>
      <c r="B15" s="2"/>
      <c r="C15" s="2">
        <v>38000</v>
      </c>
    </row>
    <row r="16" spans="1:3" ht="14.25" customHeight="1">
      <c r="A16" s="2" t="s">
        <v>37</v>
      </c>
      <c r="B16" s="2">
        <v>3000</v>
      </c>
      <c r="C16" s="2"/>
    </row>
    <row r="17" spans="1:3" ht="24.75" customHeight="1">
      <c r="A17" s="2" t="s">
        <v>41</v>
      </c>
      <c r="B17" s="2"/>
      <c r="C17" s="2">
        <v>5000</v>
      </c>
    </row>
    <row r="18" spans="1:3" ht="14.25">
      <c r="A18" s="2" t="s">
        <v>12</v>
      </c>
      <c r="B18" s="2"/>
      <c r="C18" s="2">
        <v>1000</v>
      </c>
    </row>
    <row r="19" spans="1:3" ht="14.25">
      <c r="A19" s="5" t="s">
        <v>22</v>
      </c>
      <c r="B19" s="2"/>
      <c r="C19" s="5"/>
    </row>
    <row r="20" spans="1:3" ht="14.25">
      <c r="A20" s="2" t="s">
        <v>13</v>
      </c>
      <c r="B20" s="2"/>
      <c r="C20" s="2">
        <v>208000</v>
      </c>
    </row>
    <row r="21" spans="1:3" ht="14.25">
      <c r="A21" s="2"/>
      <c r="B21" s="2"/>
      <c r="C21" s="2"/>
    </row>
    <row r="22" spans="1:3" ht="14.25">
      <c r="A22" s="2" t="s">
        <v>14</v>
      </c>
      <c r="B22" s="2"/>
      <c r="C22" s="2">
        <v>100000</v>
      </c>
    </row>
    <row r="23" spans="1:3" ht="14.25">
      <c r="A23" s="2" t="s">
        <v>15</v>
      </c>
      <c r="B23" s="2">
        <v>56000</v>
      </c>
      <c r="C23" s="2"/>
    </row>
    <row r="24" spans="1:3" ht="14.25">
      <c r="A24" s="2" t="s">
        <v>17</v>
      </c>
      <c r="B24" s="2">
        <v>25000</v>
      </c>
      <c r="C24" s="2"/>
    </row>
    <row r="25" spans="1:3" ht="14.25">
      <c r="A25" s="2" t="s">
        <v>16</v>
      </c>
      <c r="B25" s="2">
        <v>0</v>
      </c>
      <c r="C25" s="2"/>
    </row>
    <row r="26" spans="1:3" ht="14.25">
      <c r="A26" s="2" t="s">
        <v>18</v>
      </c>
      <c r="B26" s="2">
        <v>10000</v>
      </c>
      <c r="C26" s="2"/>
    </row>
    <row r="27" spans="1:3" ht="14.25">
      <c r="A27" s="2" t="s">
        <v>19</v>
      </c>
      <c r="B27" s="2">
        <v>2500</v>
      </c>
      <c r="C27" s="2"/>
    </row>
    <row r="28" spans="1:3" ht="14.25">
      <c r="A28" s="2" t="s">
        <v>173</v>
      </c>
      <c r="B28" s="2"/>
      <c r="C28" s="2"/>
    </row>
    <row r="29" spans="1:3" ht="14.25">
      <c r="A29" s="2"/>
      <c r="B29" s="2"/>
      <c r="C29" s="2"/>
    </row>
    <row r="30" spans="1:3" ht="14.25">
      <c r="A30" s="2" t="s">
        <v>20</v>
      </c>
      <c r="B30" s="2">
        <f>SUM(B6:B29)</f>
        <v>629000</v>
      </c>
      <c r="C30" s="2">
        <f>SUM(C6:C29)</f>
        <v>629000</v>
      </c>
    </row>
    <row r="32" ht="14.25">
      <c r="C32" s="6"/>
    </row>
  </sheetData>
  <sheetProtection/>
  <mergeCells count="4">
    <mergeCell ref="B4:C4"/>
    <mergeCell ref="A1:C1"/>
    <mergeCell ref="A2:C2"/>
    <mergeCell ref="A3:C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="80" zoomScaleNormal="80" zoomScalePageLayoutView="0" workbookViewId="0" topLeftCell="A1">
      <selection activeCell="K7" sqref="K7"/>
    </sheetView>
  </sheetViews>
  <sheetFormatPr defaultColWidth="11.00390625" defaultRowHeight="15"/>
  <cols>
    <col min="1" max="1" width="17.7109375" style="29" customWidth="1"/>
    <col min="2" max="2" width="11.00390625" style="29" customWidth="1"/>
    <col min="3" max="3" width="5.28125" style="29" customWidth="1"/>
    <col min="4" max="4" width="7.421875" style="29" customWidth="1"/>
    <col min="5" max="5" width="6.421875" style="29" customWidth="1"/>
    <col min="6" max="6" width="17.7109375" style="29" customWidth="1"/>
    <col min="7" max="7" width="18.28125" style="29" customWidth="1"/>
    <col min="8" max="11" width="17.7109375" style="29" customWidth="1"/>
    <col min="12" max="12" width="15.7109375" style="29" customWidth="1"/>
    <col min="13" max="13" width="17.8515625" style="29" customWidth="1"/>
    <col min="14" max="255" width="11.00390625" style="94" customWidth="1"/>
    <col min="256" max="16384" width="17.7109375" style="94" customWidth="1"/>
  </cols>
  <sheetData>
    <row r="1" spans="1:13" ht="21" thickBot="1">
      <c r="A1" s="458" t="s">
        <v>97</v>
      </c>
      <c r="B1" s="458"/>
      <c r="C1" s="458"/>
      <c r="D1" s="458"/>
      <c r="E1" s="459"/>
      <c r="F1" s="333">
        <v>43465</v>
      </c>
      <c r="G1" s="91"/>
      <c r="H1" s="92"/>
      <c r="I1" s="93"/>
      <c r="J1" s="93"/>
      <c r="K1" s="93"/>
      <c r="L1" s="93"/>
      <c r="M1" s="93"/>
    </row>
    <row r="2" spans="1:13" ht="15.75">
      <c r="A2" s="95"/>
      <c r="B2" s="90"/>
      <c r="C2" s="90"/>
      <c r="D2" s="90"/>
      <c r="E2" s="90"/>
      <c r="F2" s="96"/>
      <c r="G2" s="91"/>
      <c r="H2" s="94"/>
      <c r="I2" s="93"/>
      <c r="J2" s="93"/>
      <c r="K2" s="93"/>
      <c r="L2" s="93"/>
      <c r="M2" s="93"/>
    </row>
    <row r="3" spans="1:13" ht="16.5" thickBot="1">
      <c r="A3" s="90"/>
      <c r="B3" s="90"/>
      <c r="C3" s="90"/>
      <c r="D3" s="90"/>
      <c r="E3" s="90"/>
      <c r="F3" s="96"/>
      <c r="G3" s="91"/>
      <c r="H3" s="92"/>
      <c r="I3" s="93"/>
      <c r="J3" s="93"/>
      <c r="K3" s="93"/>
      <c r="L3" s="93"/>
      <c r="M3" s="93"/>
    </row>
    <row r="4" spans="1:13" ht="16.5" thickBot="1">
      <c r="A4" s="97" t="s">
        <v>98</v>
      </c>
      <c r="B4" s="98" t="s">
        <v>99</v>
      </c>
      <c r="C4" s="443" t="s">
        <v>100</v>
      </c>
      <c r="D4" s="444"/>
      <c r="E4" s="445"/>
      <c r="F4" s="99" t="s">
        <v>101</v>
      </c>
      <c r="G4" s="100" t="s">
        <v>102</v>
      </c>
      <c r="H4" s="101" t="s">
        <v>103</v>
      </c>
      <c r="I4" s="102" t="s">
        <v>104</v>
      </c>
      <c r="J4" s="103"/>
      <c r="K4" s="104"/>
      <c r="L4" s="105" t="s">
        <v>105</v>
      </c>
      <c r="M4" s="105" t="s">
        <v>106</v>
      </c>
    </row>
    <row r="5" spans="1:13" ht="15">
      <c r="A5" s="106"/>
      <c r="B5" s="107" t="s">
        <v>107</v>
      </c>
      <c r="C5" s="98" t="s">
        <v>108</v>
      </c>
      <c r="D5" s="98" t="s">
        <v>109</v>
      </c>
      <c r="E5" s="98" t="s">
        <v>110</v>
      </c>
      <c r="F5" s="107" t="s">
        <v>107</v>
      </c>
      <c r="G5" s="108" t="s">
        <v>111</v>
      </c>
      <c r="H5" s="109"/>
      <c r="I5" s="105" t="s">
        <v>112</v>
      </c>
      <c r="J5" s="105" t="s">
        <v>113</v>
      </c>
      <c r="K5" s="105" t="s">
        <v>114</v>
      </c>
      <c r="L5" s="110" t="s">
        <v>115</v>
      </c>
      <c r="M5" s="110" t="s">
        <v>116</v>
      </c>
    </row>
    <row r="6" spans="1:13" ht="15">
      <c r="A6" s="111" t="s">
        <v>117</v>
      </c>
      <c r="B6" s="112"/>
      <c r="C6" s="113"/>
      <c r="D6" s="113"/>
      <c r="E6" s="113"/>
      <c r="F6" s="114"/>
      <c r="G6" s="114"/>
      <c r="H6" s="217"/>
      <c r="I6" s="115"/>
      <c r="J6" s="115"/>
      <c r="K6" s="115"/>
      <c r="L6" s="116"/>
      <c r="M6" s="117"/>
    </row>
    <row r="7" spans="1:13" ht="15">
      <c r="A7" s="184" t="s">
        <v>252</v>
      </c>
      <c r="B7" s="119">
        <v>42078</v>
      </c>
      <c r="C7" s="120">
        <v>10</v>
      </c>
      <c r="D7" s="121">
        <f>IF((ROUND(((($F$1-B7)/365)+0.5-1),0))&gt;C7,C7,(ROUND(((($F$1-B7)/365)+0.5-1),0)))</f>
        <v>3</v>
      </c>
      <c r="E7" s="122">
        <f>IF(D7&lt;=C7,(C7-D7),0)</f>
        <v>7</v>
      </c>
      <c r="F7" s="205">
        <v>422500</v>
      </c>
      <c r="G7" s="206">
        <f>IF(E7&gt;0,((F7/C7)*D7),F7)</f>
        <v>126750</v>
      </c>
      <c r="H7" s="282">
        <v>1.4765</v>
      </c>
      <c r="I7" s="207">
        <f>ROUND((F7*H7),2)</f>
        <v>623821.25</v>
      </c>
      <c r="J7" s="207">
        <f>ROUND((H7*G7),2)</f>
        <v>187146.38</v>
      </c>
      <c r="K7" s="207">
        <f>(I7-J7)</f>
        <v>436674.87</v>
      </c>
      <c r="L7" s="208">
        <f>IF(K7&gt;0,ROUND((K7/(E7)),2),0)</f>
        <v>62382.12</v>
      </c>
      <c r="M7" s="209">
        <f>(K7-L7)</f>
        <v>374292.75</v>
      </c>
    </row>
    <row r="8" spans="1:13" ht="15">
      <c r="A8" s="118"/>
      <c r="B8" s="123"/>
      <c r="C8" s="124"/>
      <c r="D8" s="124"/>
      <c r="E8" s="113"/>
      <c r="F8" s="205"/>
      <c r="G8" s="206">
        <f>IF(E8&gt;0,((F8/C8)*D8),F8)</f>
        <v>0</v>
      </c>
      <c r="H8" s="282"/>
      <c r="I8" s="207">
        <f>ROUND((F8*H8),2)</f>
        <v>0</v>
      </c>
      <c r="J8" s="207">
        <f>ROUND((H8*G8),2)</f>
        <v>0</v>
      </c>
      <c r="K8" s="207">
        <f>(I8-J8)</f>
        <v>0</v>
      </c>
      <c r="L8" s="208">
        <f>IF(K8&gt;0,ROUND((K8/(E8)),2),0)</f>
        <v>0</v>
      </c>
      <c r="M8" s="209">
        <f>(K8-L8)</f>
        <v>0</v>
      </c>
    </row>
    <row r="9" spans="1:13" ht="15">
      <c r="A9" s="118"/>
      <c r="B9" s="123"/>
      <c r="C9" s="124"/>
      <c r="D9" s="124"/>
      <c r="E9" s="113"/>
      <c r="F9" s="205"/>
      <c r="G9" s="206"/>
      <c r="H9" s="282"/>
      <c r="I9" s="207"/>
      <c r="J9" s="207"/>
      <c r="K9" s="207"/>
      <c r="L9" s="208"/>
      <c r="M9" s="209"/>
    </row>
    <row r="10" spans="1:13" ht="15">
      <c r="A10" s="118"/>
      <c r="B10" s="125" t="s">
        <v>20</v>
      </c>
      <c r="C10" s="126"/>
      <c r="D10" s="126"/>
      <c r="E10" s="126"/>
      <c r="F10" s="210">
        <f>SUM(F6:F8)</f>
        <v>422500</v>
      </c>
      <c r="G10" s="211">
        <f>SUM(G6:G8)</f>
        <v>126750</v>
      </c>
      <c r="H10" s="283"/>
      <c r="I10" s="211">
        <f>SUM(I6:I8)</f>
        <v>623821.25</v>
      </c>
      <c r="J10" s="211">
        <f>SUM(J6:J8)</f>
        <v>187146.38</v>
      </c>
      <c r="K10" s="211">
        <f>SUM(K6:K8)</f>
        <v>436674.87</v>
      </c>
      <c r="L10" s="211">
        <f>SUM(L6:L8)</f>
        <v>62382.12</v>
      </c>
      <c r="M10" s="211">
        <f>SUM(M6:M8)</f>
        <v>374292.75</v>
      </c>
    </row>
    <row r="11" spans="1:13" ht="15.75" thickBot="1">
      <c r="A11" s="111" t="s">
        <v>28</v>
      </c>
      <c r="B11" s="112"/>
      <c r="C11" s="127"/>
      <c r="D11" s="127"/>
      <c r="E11" s="127"/>
      <c r="F11" s="212"/>
      <c r="G11" s="212"/>
      <c r="H11" s="284"/>
      <c r="I11" s="213"/>
      <c r="J11" s="213"/>
      <c r="K11" s="213"/>
      <c r="L11" s="214"/>
      <c r="M11" s="215"/>
    </row>
    <row r="12" spans="1:13" ht="15.75" thickBot="1">
      <c r="A12" s="184" t="s">
        <v>252</v>
      </c>
      <c r="B12" s="119">
        <v>41136</v>
      </c>
      <c r="C12" s="120">
        <v>5</v>
      </c>
      <c r="D12" s="121">
        <f>IF((ROUND(((($F$1-B12)/365)+0.5-1),0))&gt;C12,C12,(ROUND(((($F$1-B12)/365)+0.5-1),0)))</f>
        <v>5</v>
      </c>
      <c r="E12" s="122">
        <f>IF(D12&lt;=C12,(C12-D12),0)</f>
        <v>0</v>
      </c>
      <c r="F12" s="206">
        <v>558000</v>
      </c>
      <c r="G12" s="206">
        <f>IF(E12&gt;0,((F12/C12)*D12),F12)</f>
        <v>558000</v>
      </c>
      <c r="H12" s="284">
        <v>1.4765</v>
      </c>
      <c r="I12" s="207">
        <f>ROUND((F12*H12),2)</f>
        <v>823887</v>
      </c>
      <c r="J12" s="207">
        <f>ROUND((H12*G12),2)</f>
        <v>823887</v>
      </c>
      <c r="K12" s="207">
        <f>(I12-J12)</f>
        <v>0</v>
      </c>
      <c r="L12" s="208">
        <f>IF(K12&gt;0,ROUND((K12/(E12)),2),0)</f>
        <v>0</v>
      </c>
      <c r="M12" s="209">
        <f>(K12-L12)</f>
        <v>0</v>
      </c>
    </row>
    <row r="13" spans="1:13" ht="15.75" thickBot="1">
      <c r="A13" s="118"/>
      <c r="B13" s="119"/>
      <c r="C13" s="120"/>
      <c r="D13" s="121"/>
      <c r="E13" s="122"/>
      <c r="F13" s="206"/>
      <c r="G13" s="206"/>
      <c r="H13" s="218"/>
      <c r="I13" s="207"/>
      <c r="J13" s="207"/>
      <c r="K13" s="207"/>
      <c r="L13" s="208"/>
      <c r="M13" s="209"/>
    </row>
    <row r="14" spans="1:13" ht="15.75" thickBot="1">
      <c r="A14" s="118"/>
      <c r="B14" s="112"/>
      <c r="C14" s="113"/>
      <c r="D14" s="113"/>
      <c r="E14" s="113"/>
      <c r="F14" s="206"/>
      <c r="G14" s="206">
        <f>IF(E14&gt;0,((F14/C14)*D14),F14)</f>
        <v>0</v>
      </c>
      <c r="H14" s="218"/>
      <c r="I14" s="207">
        <f>ROUND((F14*H14),2)</f>
        <v>0</v>
      </c>
      <c r="J14" s="207">
        <f>ROUND((H14*G14),2)</f>
        <v>0</v>
      </c>
      <c r="K14" s="207">
        <f>(I14-J14)</f>
        <v>0</v>
      </c>
      <c r="L14" s="208">
        <f>IF(K14&gt;0,ROUND((K14/(E14)),2),0)</f>
        <v>0</v>
      </c>
      <c r="M14" s="209"/>
    </row>
    <row r="15" spans="1:13" ht="15">
      <c r="A15" s="118"/>
      <c r="B15" s="125" t="s">
        <v>20</v>
      </c>
      <c r="C15" s="126"/>
      <c r="D15" s="126"/>
      <c r="E15" s="126"/>
      <c r="F15" s="210">
        <f>SUM(F11:F14)</f>
        <v>558000</v>
      </c>
      <c r="G15" s="211">
        <f>SUM(G11:G14)</f>
        <v>558000</v>
      </c>
      <c r="H15" s="211"/>
      <c r="I15" s="211">
        <f>SUM(I11:I14)</f>
        <v>823887</v>
      </c>
      <c r="J15" s="211">
        <f>SUM(J11:J14)</f>
        <v>823887</v>
      </c>
      <c r="K15" s="211">
        <f>SUM(K11:K14)</f>
        <v>0</v>
      </c>
      <c r="L15" s="211">
        <f>SUM(L11:L14)</f>
        <v>0</v>
      </c>
      <c r="M15" s="211">
        <f>SUM(M11:M14)</f>
        <v>0</v>
      </c>
    </row>
    <row r="16" spans="1:13" ht="15">
      <c r="A16" s="90"/>
      <c r="B16" s="90"/>
      <c r="C16" s="90"/>
      <c r="D16" s="90"/>
      <c r="E16" s="90"/>
      <c r="F16" s="128"/>
      <c r="G16" s="128"/>
      <c r="H16" s="90"/>
      <c r="I16" s="90"/>
      <c r="J16" s="90"/>
      <c r="K16" s="90"/>
      <c r="L16" s="90"/>
      <c r="M16" s="90"/>
    </row>
    <row r="17" spans="1:13" ht="15">
      <c r="A17" s="449"/>
      <c r="B17" s="450"/>
      <c r="C17" s="450"/>
      <c r="D17" s="450"/>
      <c r="E17" s="451"/>
      <c r="F17" s="289" t="s">
        <v>118</v>
      </c>
      <c r="G17" s="289" t="s">
        <v>119</v>
      </c>
      <c r="H17" s="290" t="s">
        <v>120</v>
      </c>
      <c r="I17" s="290" t="s">
        <v>121</v>
      </c>
      <c r="J17" s="291" t="s">
        <v>122</v>
      </c>
      <c r="K17" s="287"/>
      <c r="L17" s="288"/>
      <c r="M17" s="129"/>
    </row>
    <row r="18" spans="1:13" ht="15">
      <c r="A18" s="452" t="s">
        <v>27</v>
      </c>
      <c r="B18" s="453"/>
      <c r="C18" s="453"/>
      <c r="D18" s="453"/>
      <c r="E18" s="454"/>
      <c r="F18" s="216">
        <v>422500</v>
      </c>
      <c r="G18" s="216">
        <v>126750</v>
      </c>
      <c r="H18" s="217">
        <f>(I10)</f>
        <v>623821.25</v>
      </c>
      <c r="I18" s="217">
        <f>(J10)</f>
        <v>187146.38</v>
      </c>
      <c r="J18" s="217">
        <f>(L10)</f>
        <v>62382.12</v>
      </c>
      <c r="K18" s="135"/>
      <c r="L18" s="135"/>
      <c r="M18" s="129"/>
    </row>
    <row r="19" spans="1:13" ht="15">
      <c r="A19" s="452" t="s">
        <v>28</v>
      </c>
      <c r="B19" s="453"/>
      <c r="C19" s="453"/>
      <c r="D19" s="453"/>
      <c r="E19" s="454"/>
      <c r="F19" s="216">
        <v>558000</v>
      </c>
      <c r="G19" s="216">
        <v>558000</v>
      </c>
      <c r="H19" s="217">
        <f>(I15)</f>
        <v>823887</v>
      </c>
      <c r="I19" s="217">
        <f>(J15)</f>
        <v>823887</v>
      </c>
      <c r="J19" s="217">
        <f>(L15)</f>
        <v>0</v>
      </c>
      <c r="K19" s="135"/>
      <c r="L19" s="135"/>
      <c r="M19" s="129"/>
    </row>
    <row r="20" spans="1:13" ht="15">
      <c r="A20" s="133"/>
      <c r="B20" s="130"/>
      <c r="C20" s="131"/>
      <c r="D20" s="131"/>
      <c r="E20" s="132"/>
      <c r="F20" s="134"/>
      <c r="G20" s="134"/>
      <c r="H20" s="135"/>
      <c r="I20" s="135"/>
      <c r="J20" s="135"/>
      <c r="K20" s="135"/>
      <c r="L20" s="90"/>
      <c r="M20" s="129"/>
    </row>
    <row r="21" spans="1:13" ht="15">
      <c r="A21" s="441" t="s">
        <v>27</v>
      </c>
      <c r="B21" s="441"/>
      <c r="C21" s="441"/>
      <c r="D21" s="441"/>
      <c r="E21" s="441"/>
      <c r="F21" s="285">
        <f>(H18-F18)</f>
        <v>201321.25</v>
      </c>
      <c r="G21" s="286"/>
      <c r="H21" s="90"/>
      <c r="I21" s="90"/>
      <c r="J21" s="90"/>
      <c r="K21" s="90"/>
      <c r="L21" s="90"/>
      <c r="M21" s="90"/>
    </row>
    <row r="22" spans="1:13" ht="15">
      <c r="A22" s="441" t="s">
        <v>28</v>
      </c>
      <c r="B22" s="441"/>
      <c r="C22" s="441"/>
      <c r="D22" s="441"/>
      <c r="E22" s="441"/>
      <c r="F22" s="285">
        <f>(H19-F19)</f>
        <v>265887</v>
      </c>
      <c r="G22" s="285"/>
      <c r="H22" s="90"/>
      <c r="I22" s="90"/>
      <c r="J22" s="90"/>
      <c r="K22" s="90"/>
      <c r="L22" s="90"/>
      <c r="M22" s="90"/>
    </row>
    <row r="23" spans="1:13" ht="15">
      <c r="A23" s="441" t="s">
        <v>124</v>
      </c>
      <c r="B23" s="441"/>
      <c r="C23" s="441"/>
      <c r="D23" s="441"/>
      <c r="E23" s="441"/>
      <c r="F23" s="285"/>
      <c r="G23" s="285">
        <f>(I18-G18)</f>
        <v>60396.380000000005</v>
      </c>
      <c r="H23" s="90"/>
      <c r="I23" s="90"/>
      <c r="J23" s="90"/>
      <c r="K23" s="90"/>
      <c r="L23" s="90"/>
      <c r="M23" s="90"/>
    </row>
    <row r="24" spans="1:13" ht="15">
      <c r="A24" s="441" t="s">
        <v>125</v>
      </c>
      <c r="B24" s="441"/>
      <c r="C24" s="441"/>
      <c r="D24" s="441"/>
      <c r="E24" s="441"/>
      <c r="F24" s="285"/>
      <c r="G24" s="285">
        <f>(I19-G19)</f>
        <v>265887</v>
      </c>
      <c r="H24" s="90"/>
      <c r="I24" s="90"/>
      <c r="J24" s="90"/>
      <c r="K24" s="90"/>
      <c r="L24" s="90"/>
      <c r="M24" s="90"/>
    </row>
    <row r="25" spans="1:13" ht="15">
      <c r="A25" s="441" t="s">
        <v>126</v>
      </c>
      <c r="B25" s="441"/>
      <c r="C25" s="441"/>
      <c r="D25" s="441"/>
      <c r="E25" s="441"/>
      <c r="F25" s="286"/>
      <c r="G25" s="285">
        <f>SUM(F21:F22)-SUM(G23:G24)</f>
        <v>140924.87</v>
      </c>
      <c r="H25" s="90"/>
      <c r="I25" s="90"/>
      <c r="J25" s="90"/>
      <c r="K25" s="90"/>
      <c r="L25" s="90"/>
      <c r="M25" s="90"/>
    </row>
    <row r="26" spans="1:13" ht="15">
      <c r="A26" s="441" t="s">
        <v>127</v>
      </c>
      <c r="B26" s="441"/>
      <c r="C26" s="441"/>
      <c r="D26" s="441"/>
      <c r="E26" s="441"/>
      <c r="F26" s="286"/>
      <c r="G26" s="286"/>
      <c r="H26" s="90"/>
      <c r="I26" s="90"/>
      <c r="J26" s="90"/>
      <c r="K26" s="90"/>
      <c r="L26" s="90"/>
      <c r="M26" s="90"/>
    </row>
    <row r="27" spans="1:13" ht="15">
      <c r="A27" s="446"/>
      <c r="B27" s="447"/>
      <c r="C27" s="447"/>
      <c r="D27" s="447"/>
      <c r="E27" s="448"/>
      <c r="F27" s="286"/>
      <c r="G27" s="286"/>
      <c r="H27" s="90"/>
      <c r="I27" s="90"/>
      <c r="J27" s="90"/>
      <c r="K27" s="90"/>
      <c r="L27" s="90"/>
      <c r="M27" s="90"/>
    </row>
    <row r="28" spans="1:13" ht="15">
      <c r="A28" s="441" t="s">
        <v>128</v>
      </c>
      <c r="B28" s="441"/>
      <c r="C28" s="441"/>
      <c r="D28" s="441"/>
      <c r="E28" s="441"/>
      <c r="F28" s="285">
        <f>+J18</f>
        <v>62382.12</v>
      </c>
      <c r="G28" s="286"/>
      <c r="H28" s="90"/>
      <c r="I28" s="90"/>
      <c r="J28" s="90"/>
      <c r="K28" s="90"/>
      <c r="L28" s="90"/>
      <c r="M28" s="90"/>
    </row>
    <row r="29" spans="1:124" ht="15">
      <c r="A29" s="441" t="s">
        <v>129</v>
      </c>
      <c r="B29" s="441"/>
      <c r="C29" s="441"/>
      <c r="D29" s="441"/>
      <c r="E29" s="441"/>
      <c r="F29" s="285">
        <f>+J19</f>
        <v>0</v>
      </c>
      <c r="G29" s="285"/>
      <c r="H29" s="130"/>
      <c r="I29" s="130"/>
      <c r="J29" s="130"/>
      <c r="K29" s="130"/>
      <c r="L29" s="130"/>
      <c r="M29" s="130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</row>
    <row r="30" spans="1:256" s="138" customFormat="1" ht="15">
      <c r="A30" s="441" t="s">
        <v>124</v>
      </c>
      <c r="B30" s="441"/>
      <c r="C30" s="441"/>
      <c r="D30" s="441"/>
      <c r="E30" s="441"/>
      <c r="F30" s="285"/>
      <c r="G30" s="285">
        <f>(F28)</f>
        <v>62382.12</v>
      </c>
      <c r="H30" s="137"/>
      <c r="I30" s="137"/>
      <c r="J30" s="137"/>
      <c r="K30" s="137"/>
      <c r="L30" s="137"/>
      <c r="M30" s="137"/>
      <c r="N30" s="137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56"/>
      <c r="DV30" s="456"/>
      <c r="DW30" s="456"/>
      <c r="DX30" s="456"/>
      <c r="DY30" s="457"/>
      <c r="DZ30" s="455"/>
      <c r="EA30" s="456"/>
      <c r="EB30" s="456"/>
      <c r="EC30" s="456"/>
      <c r="ED30" s="457"/>
      <c r="EE30" s="455"/>
      <c r="EF30" s="456"/>
      <c r="EG30" s="456"/>
      <c r="EH30" s="456"/>
      <c r="EI30" s="457"/>
      <c r="EJ30" s="455"/>
      <c r="EK30" s="456"/>
      <c r="EL30" s="456"/>
      <c r="EM30" s="456"/>
      <c r="EN30" s="457"/>
      <c r="EO30" s="455"/>
      <c r="EP30" s="456"/>
      <c r="EQ30" s="456"/>
      <c r="ER30" s="456"/>
      <c r="ES30" s="457"/>
      <c r="ET30" s="455"/>
      <c r="EU30" s="456"/>
      <c r="EV30" s="456"/>
      <c r="EW30" s="456"/>
      <c r="EX30" s="457"/>
      <c r="EY30" s="455"/>
      <c r="EZ30" s="456"/>
      <c r="FA30" s="456"/>
      <c r="FB30" s="456"/>
      <c r="FC30" s="457"/>
      <c r="FD30" s="455"/>
      <c r="FE30" s="456"/>
      <c r="FF30" s="456"/>
      <c r="FG30" s="456"/>
      <c r="FH30" s="457"/>
      <c r="FI30" s="455"/>
      <c r="FJ30" s="456"/>
      <c r="FK30" s="456"/>
      <c r="FL30" s="456"/>
      <c r="FM30" s="457"/>
      <c r="FN30" s="455"/>
      <c r="FO30" s="456"/>
      <c r="FP30" s="456"/>
      <c r="FQ30" s="456"/>
      <c r="FR30" s="457"/>
      <c r="FS30" s="455"/>
      <c r="FT30" s="456"/>
      <c r="FU30" s="456"/>
      <c r="FV30" s="456"/>
      <c r="FW30" s="457"/>
      <c r="FX30" s="455"/>
      <c r="FY30" s="456"/>
      <c r="FZ30" s="456"/>
      <c r="GA30" s="456"/>
      <c r="GB30" s="457"/>
      <c r="GC30" s="455"/>
      <c r="GD30" s="456"/>
      <c r="GE30" s="456"/>
      <c r="GF30" s="456"/>
      <c r="GG30" s="457"/>
      <c r="GH30" s="455"/>
      <c r="GI30" s="456"/>
      <c r="GJ30" s="456"/>
      <c r="GK30" s="456"/>
      <c r="GL30" s="457"/>
      <c r="GM30" s="455"/>
      <c r="GN30" s="456"/>
      <c r="GO30" s="456"/>
      <c r="GP30" s="456"/>
      <c r="GQ30" s="457"/>
      <c r="GR30" s="455"/>
      <c r="GS30" s="456"/>
      <c r="GT30" s="456"/>
      <c r="GU30" s="456"/>
      <c r="GV30" s="457"/>
      <c r="GW30" s="455"/>
      <c r="GX30" s="456"/>
      <c r="GY30" s="456"/>
      <c r="GZ30" s="456"/>
      <c r="HA30" s="457"/>
      <c r="HB30" s="455"/>
      <c r="HC30" s="456"/>
      <c r="HD30" s="456"/>
      <c r="HE30" s="456"/>
      <c r="HF30" s="457"/>
      <c r="HG30" s="455"/>
      <c r="HH30" s="456"/>
      <c r="HI30" s="456"/>
      <c r="HJ30" s="456"/>
      <c r="HK30" s="457"/>
      <c r="HL30" s="455"/>
      <c r="HM30" s="456"/>
      <c r="HN30" s="456"/>
      <c r="HO30" s="456"/>
      <c r="HP30" s="457"/>
      <c r="HQ30" s="455"/>
      <c r="HR30" s="456"/>
      <c r="HS30" s="456"/>
      <c r="HT30" s="456"/>
      <c r="HU30" s="457"/>
      <c r="HV30" s="455"/>
      <c r="HW30" s="456"/>
      <c r="HX30" s="456"/>
      <c r="HY30" s="456"/>
      <c r="HZ30" s="457"/>
      <c r="IA30" s="455"/>
      <c r="IB30" s="456"/>
      <c r="IC30" s="456"/>
      <c r="ID30" s="456"/>
      <c r="IE30" s="457"/>
      <c r="IF30" s="455"/>
      <c r="IG30" s="456"/>
      <c r="IH30" s="456"/>
      <c r="II30" s="456"/>
      <c r="IJ30" s="457"/>
      <c r="IK30" s="455"/>
      <c r="IL30" s="456"/>
      <c r="IM30" s="456"/>
      <c r="IN30" s="456"/>
      <c r="IO30" s="457"/>
      <c r="IP30" s="455"/>
      <c r="IQ30" s="456"/>
      <c r="IR30" s="456"/>
      <c r="IS30" s="456"/>
      <c r="IT30" s="457"/>
      <c r="IU30" s="455"/>
      <c r="IV30" s="456"/>
    </row>
    <row r="31" spans="1:7" ht="15">
      <c r="A31" s="441" t="s">
        <v>125</v>
      </c>
      <c r="B31" s="441"/>
      <c r="C31" s="441"/>
      <c r="D31" s="441"/>
      <c r="E31" s="441"/>
      <c r="F31" s="285"/>
      <c r="G31" s="285">
        <f>(F29)</f>
        <v>0</v>
      </c>
    </row>
    <row r="32" spans="1:7" ht="15">
      <c r="A32" s="441" t="s">
        <v>130</v>
      </c>
      <c r="B32" s="441"/>
      <c r="C32" s="441"/>
      <c r="D32" s="441"/>
      <c r="E32" s="441" t="s">
        <v>123</v>
      </c>
      <c r="F32" s="285"/>
      <c r="G32" s="285" t="s">
        <v>123</v>
      </c>
    </row>
  </sheetData>
  <sheetProtection/>
  <mergeCells count="66">
    <mergeCell ref="A1:E1"/>
    <mergeCell ref="A31:E31"/>
    <mergeCell ref="A32:E32"/>
    <mergeCell ref="HV30:HZ30"/>
    <mergeCell ref="IA30:IE30"/>
    <mergeCell ref="IF30:IJ30"/>
    <mergeCell ref="IK30:IO30"/>
    <mergeCell ref="IP30:IT30"/>
    <mergeCell ref="IU30:IV30"/>
    <mergeCell ref="GR30:GV30"/>
    <mergeCell ref="GW30:HA30"/>
    <mergeCell ref="HB30:HF30"/>
    <mergeCell ref="HG30:HK30"/>
    <mergeCell ref="HL30:HP30"/>
    <mergeCell ref="HQ30:HU30"/>
    <mergeCell ref="GH30:GL30"/>
    <mergeCell ref="GM30:GQ30"/>
    <mergeCell ref="EJ30:EN30"/>
    <mergeCell ref="EO30:ES30"/>
    <mergeCell ref="ET30:EX30"/>
    <mergeCell ref="EY30:FC30"/>
    <mergeCell ref="FD30:FH30"/>
    <mergeCell ref="FI30:FM30"/>
    <mergeCell ref="DF30:DJ30"/>
    <mergeCell ref="DK30:DO30"/>
    <mergeCell ref="DP30:DT30"/>
    <mergeCell ref="DU30:DY30"/>
    <mergeCell ref="DZ30:ED30"/>
    <mergeCell ref="EE30:EI30"/>
    <mergeCell ref="DA30:DE30"/>
    <mergeCell ref="AX30:BB30"/>
    <mergeCell ref="BC30:BG30"/>
    <mergeCell ref="BH30:BL30"/>
    <mergeCell ref="BM30:BQ30"/>
    <mergeCell ref="BR30:BV30"/>
    <mergeCell ref="BW30:CA30"/>
    <mergeCell ref="T30:X30"/>
    <mergeCell ref="Y30:AC30"/>
    <mergeCell ref="AD30:AH30"/>
    <mergeCell ref="AI30:AM30"/>
    <mergeCell ref="AN30:AR30"/>
    <mergeCell ref="AS30:AW30"/>
    <mergeCell ref="FN30:FR30"/>
    <mergeCell ref="FS30:FW30"/>
    <mergeCell ref="FX30:GB30"/>
    <mergeCell ref="GC30:GG30"/>
    <mergeCell ref="A26:E26"/>
    <mergeCell ref="A28:E28"/>
    <mergeCell ref="A29:E29"/>
    <mergeCell ref="A30:E30"/>
    <mergeCell ref="O30:S30"/>
    <mergeCell ref="C4:E4"/>
    <mergeCell ref="A21:E21"/>
    <mergeCell ref="A22:E22"/>
    <mergeCell ref="A23:E23"/>
    <mergeCell ref="A24:E24"/>
    <mergeCell ref="A25:E25"/>
    <mergeCell ref="CB30:CF30"/>
    <mergeCell ref="CG30:CK30"/>
    <mergeCell ref="CL30:CP30"/>
    <mergeCell ref="CQ30:CU30"/>
    <mergeCell ref="CV30:CZ30"/>
    <mergeCell ref="A27:E27"/>
    <mergeCell ref="A17:E17"/>
    <mergeCell ref="A18:E18"/>
    <mergeCell ref="A19:E19"/>
  </mergeCells>
  <printOptions/>
  <pageMargins left="0.35" right="0.3" top="0.7480314960629921" bottom="0.7480314960629921" header="0.31496062992125984" footer="0.31496062992125984"/>
  <pageSetup cellComments="asDisplayed" fitToHeight="1" fitToWidth="1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73.140625" style="153" customWidth="1"/>
    <col min="2" max="2" width="17.00390625" style="154" customWidth="1"/>
    <col min="3" max="3" width="16.28125" style="154" customWidth="1"/>
    <col min="4" max="4" width="10.00390625" style="186" customWidth="1"/>
    <col min="5" max="5" width="17.57421875" style="154" customWidth="1"/>
    <col min="6" max="6" width="11.57421875" style="155" customWidth="1"/>
    <col min="7" max="7" width="12.140625" style="155" bestFit="1" customWidth="1"/>
    <col min="8" max="8" width="11.57421875" style="155" customWidth="1"/>
    <col min="9" max="16384" width="11.57421875" style="153" customWidth="1"/>
  </cols>
  <sheetData>
    <row r="1" spans="1:2" ht="15.75" thickBot="1">
      <c r="A1" s="332" t="s">
        <v>132</v>
      </c>
      <c r="B1" s="153"/>
    </row>
    <row r="2" spans="1:5" ht="23.25" customHeight="1">
      <c r="A2" s="292" t="s">
        <v>133</v>
      </c>
      <c r="B2" s="293"/>
      <c r="C2" s="293"/>
      <c r="D2" s="294"/>
      <c r="E2" s="295"/>
    </row>
    <row r="3" spans="1:5" ht="15">
      <c r="A3" s="296" t="s">
        <v>134</v>
      </c>
      <c r="B3" s="297"/>
      <c r="C3" s="297"/>
      <c r="D3" s="298"/>
      <c r="E3" s="299"/>
    </row>
    <row r="4" spans="1:5" ht="15">
      <c r="A4" s="300" t="s">
        <v>135</v>
      </c>
      <c r="B4" s="297"/>
      <c r="C4" s="297"/>
      <c r="D4" s="298"/>
      <c r="E4" s="299"/>
    </row>
    <row r="5" spans="1:5" ht="15">
      <c r="A5" s="300" t="s">
        <v>136</v>
      </c>
      <c r="B5" s="297">
        <v>5000</v>
      </c>
      <c r="C5" s="297"/>
      <c r="D5" s="298"/>
      <c r="E5" s="299"/>
    </row>
    <row r="6" spans="1:5" ht="14.25" thickBot="1">
      <c r="A6" s="300" t="s">
        <v>137</v>
      </c>
      <c r="B6" s="301">
        <v>11233.02</v>
      </c>
      <c r="C6" s="301">
        <f>SUM(B5:B6)</f>
        <v>16233.02</v>
      </c>
      <c r="D6" s="302">
        <v>1.4765</v>
      </c>
      <c r="E6" s="299">
        <f>ROUND(C6*D6,2)</f>
        <v>23968.05</v>
      </c>
    </row>
    <row r="7" spans="1:5" ht="13.5">
      <c r="A7" s="300" t="s">
        <v>138</v>
      </c>
      <c r="B7" s="297"/>
      <c r="C7" s="297"/>
      <c r="D7" s="298"/>
      <c r="E7" s="299"/>
    </row>
    <row r="8" spans="1:5" ht="13.5">
      <c r="A8" s="300" t="s">
        <v>139</v>
      </c>
      <c r="B8" s="297"/>
      <c r="C8" s="297"/>
      <c r="D8" s="298"/>
      <c r="E8" s="299"/>
    </row>
    <row r="9" spans="1:5" ht="13.5">
      <c r="A9" s="300" t="s">
        <v>140</v>
      </c>
      <c r="B9" s="297"/>
      <c r="C9" s="297"/>
      <c r="D9" s="298"/>
      <c r="E9" s="299"/>
    </row>
    <row r="10" spans="1:5" ht="14.25" thickBot="1">
      <c r="A10" s="300" t="s">
        <v>141</v>
      </c>
      <c r="B10" s="297"/>
      <c r="C10" s="297"/>
      <c r="D10" s="298"/>
      <c r="E10" s="303"/>
    </row>
    <row r="11" spans="1:5" ht="27">
      <c r="A11" s="300" t="s">
        <v>142</v>
      </c>
      <c r="B11" s="297"/>
      <c r="C11" s="297"/>
      <c r="D11" s="298"/>
      <c r="E11" s="299">
        <f>SUM(E6:E10)</f>
        <v>23968.05</v>
      </c>
    </row>
    <row r="12" spans="1:5" ht="13.5">
      <c r="A12" s="300" t="s">
        <v>143</v>
      </c>
      <c r="B12" s="297"/>
      <c r="C12" s="297"/>
      <c r="D12" s="298"/>
      <c r="E12" s="299"/>
    </row>
    <row r="13" spans="1:5" ht="13.5">
      <c r="A13" s="300" t="s">
        <v>144</v>
      </c>
      <c r="B13" s="297"/>
      <c r="C13" s="297">
        <v>5000</v>
      </c>
      <c r="D13" s="298"/>
      <c r="E13" s="299"/>
    </row>
    <row r="14" spans="1:5" ht="14.25" thickBot="1">
      <c r="A14" s="300" t="s">
        <v>145</v>
      </c>
      <c r="B14" s="297"/>
      <c r="C14" s="301">
        <v>11233.02</v>
      </c>
      <c r="D14" s="302"/>
      <c r="E14" s="303">
        <f>SUM(C13:C14)</f>
        <v>16233.02</v>
      </c>
    </row>
    <row r="15" spans="1:5" ht="14.25" thickBot="1">
      <c r="A15" s="304" t="s">
        <v>146</v>
      </c>
      <c r="B15" s="301"/>
      <c r="C15" s="301"/>
      <c r="D15" s="302"/>
      <c r="E15" s="305">
        <f>E11-E14</f>
        <v>7735.029999999999</v>
      </c>
    </row>
    <row r="16" spans="1:5" ht="13.5">
      <c r="A16" s="306" t="s">
        <v>211</v>
      </c>
      <c r="B16" s="307"/>
      <c r="C16" s="307"/>
      <c r="D16" s="308"/>
      <c r="E16" s="309"/>
    </row>
    <row r="17" spans="1:5" ht="13.5">
      <c r="A17" s="310" t="s">
        <v>148</v>
      </c>
      <c r="B17" s="311"/>
      <c r="C17" s="311"/>
      <c r="D17" s="312"/>
      <c r="E17" s="313"/>
    </row>
    <row r="18" spans="1:5" ht="13.5">
      <c r="A18" s="310" t="s">
        <v>213</v>
      </c>
      <c r="B18" s="311"/>
      <c r="C18" s="311">
        <v>129750</v>
      </c>
      <c r="D18" s="312">
        <v>1.4765</v>
      </c>
      <c r="E18" s="313">
        <f>ROUND(C18*D18,2)</f>
        <v>191575.88</v>
      </c>
    </row>
    <row r="19" spans="1:5" ht="13.5">
      <c r="A19" s="310" t="s">
        <v>268</v>
      </c>
      <c r="B19" s="311"/>
      <c r="C19" s="311">
        <v>-129750</v>
      </c>
      <c r="D19" s="312">
        <v>1.4765</v>
      </c>
      <c r="E19" s="349">
        <f>ROUND(C19*D19,2)</f>
        <v>-191575.88</v>
      </c>
    </row>
    <row r="20" spans="1:5" ht="13.5">
      <c r="A20" s="348" t="s">
        <v>267</v>
      </c>
      <c r="B20" s="311"/>
      <c r="C20" s="311"/>
      <c r="D20" s="312"/>
      <c r="E20" s="313">
        <f>SUM(E18:E19)</f>
        <v>0</v>
      </c>
    </row>
    <row r="21" spans="1:5" ht="13.5">
      <c r="A21" s="310" t="s">
        <v>150</v>
      </c>
      <c r="B21" s="311"/>
      <c r="C21" s="311"/>
      <c r="D21" s="312"/>
      <c r="E21" s="313"/>
    </row>
    <row r="22" spans="1:5" ht="13.5">
      <c r="A22" s="310" t="s">
        <v>151</v>
      </c>
      <c r="B22" s="311"/>
      <c r="C22" s="311"/>
      <c r="D22" s="312"/>
      <c r="E22" s="313"/>
    </row>
    <row r="23" spans="1:5" ht="14.25" thickBot="1">
      <c r="A23" s="310" t="s">
        <v>269</v>
      </c>
      <c r="B23" s="311"/>
      <c r="C23" s="314"/>
      <c r="D23" s="315"/>
      <c r="E23" s="316"/>
    </row>
    <row r="24" spans="1:5" ht="13.5">
      <c r="A24" s="310" t="s">
        <v>212</v>
      </c>
      <c r="B24" s="311"/>
      <c r="C24" s="311"/>
      <c r="D24" s="312"/>
      <c r="E24" s="313">
        <f>SUM(E18:E23)</f>
        <v>0</v>
      </c>
    </row>
    <row r="25" spans="1:5" ht="13.5">
      <c r="A25" s="310" t="s">
        <v>214</v>
      </c>
      <c r="B25" s="311"/>
      <c r="C25" s="311"/>
      <c r="D25" s="312"/>
      <c r="E25" s="313">
        <v>0</v>
      </c>
    </row>
    <row r="26" spans="1:5" ht="14.25" thickBot="1">
      <c r="A26" s="317" t="s">
        <v>240</v>
      </c>
      <c r="B26" s="314"/>
      <c r="C26" s="314"/>
      <c r="D26" s="315"/>
      <c r="E26" s="318">
        <f>E24-E25</f>
        <v>0</v>
      </c>
    </row>
    <row r="27" spans="1:8" ht="13.5">
      <c r="A27" s="292" t="s">
        <v>147</v>
      </c>
      <c r="B27" s="293"/>
      <c r="C27" s="293"/>
      <c r="D27" s="294"/>
      <c r="E27" s="295"/>
      <c r="F27" s="153"/>
      <c r="G27" s="153"/>
      <c r="H27" s="153"/>
    </row>
    <row r="28" spans="1:8" ht="13.5">
      <c r="A28" s="300" t="s">
        <v>148</v>
      </c>
      <c r="B28" s="297"/>
      <c r="C28" s="297"/>
      <c r="D28" s="298"/>
      <c r="E28" s="299"/>
      <c r="F28" s="153"/>
      <c r="G28" s="153"/>
      <c r="H28" s="153"/>
    </row>
    <row r="29" spans="1:8" ht="13.5">
      <c r="A29" s="300" t="s">
        <v>149</v>
      </c>
      <c r="B29" s="297"/>
      <c r="C29" s="297">
        <v>1000</v>
      </c>
      <c r="D29" s="298">
        <v>1.4765</v>
      </c>
      <c r="E29" s="299">
        <f>ROUND(C29*D29,2)</f>
        <v>1476.5</v>
      </c>
      <c r="F29" s="153"/>
      <c r="G29" s="153"/>
      <c r="H29" s="153"/>
    </row>
    <row r="30" spans="1:8" ht="13.5">
      <c r="A30" s="300" t="s">
        <v>150</v>
      </c>
      <c r="B30" s="297"/>
      <c r="C30" s="297"/>
      <c r="D30" s="298"/>
      <c r="E30" s="299"/>
      <c r="F30" s="153"/>
      <c r="G30" s="153"/>
      <c r="H30" s="153"/>
    </row>
    <row r="31" spans="1:8" ht="13.5">
      <c r="A31" s="300" t="s">
        <v>151</v>
      </c>
      <c r="B31" s="297"/>
      <c r="C31" s="297"/>
      <c r="D31" s="298">
        <v>1.4765</v>
      </c>
      <c r="E31" s="299">
        <f>ROUND(C31*D31,2)</f>
        <v>0</v>
      </c>
      <c r="F31" s="153"/>
      <c r="G31" s="153"/>
      <c r="H31" s="153"/>
    </row>
    <row r="32" spans="1:8" ht="14.25" thickBot="1">
      <c r="A32" s="300" t="s">
        <v>152</v>
      </c>
      <c r="B32" s="297"/>
      <c r="C32" s="301"/>
      <c r="D32" s="302"/>
      <c r="E32" s="303"/>
      <c r="F32" s="153"/>
      <c r="G32" s="153"/>
      <c r="H32" s="153"/>
    </row>
    <row r="33" spans="1:8" ht="13.5">
      <c r="A33" s="300" t="s">
        <v>153</v>
      </c>
      <c r="B33" s="297"/>
      <c r="C33" s="297"/>
      <c r="D33" s="298"/>
      <c r="E33" s="299">
        <f>SUM(E29:E32)</f>
        <v>1476.5</v>
      </c>
      <c r="F33" s="153"/>
      <c r="G33" s="153"/>
      <c r="H33" s="153"/>
    </row>
    <row r="34" spans="1:8" ht="13.5">
      <c r="A34" s="300" t="s">
        <v>154</v>
      </c>
      <c r="B34" s="297"/>
      <c r="C34" s="297"/>
      <c r="D34" s="298"/>
      <c r="E34" s="299">
        <v>1000</v>
      </c>
      <c r="F34" s="153"/>
      <c r="G34" s="153"/>
      <c r="H34" s="153"/>
    </row>
    <row r="35" spans="1:8" ht="14.25" thickBot="1">
      <c r="A35" s="304" t="s">
        <v>155</v>
      </c>
      <c r="B35" s="301"/>
      <c r="C35" s="301"/>
      <c r="D35" s="302"/>
      <c r="E35" s="320">
        <f>E33-E34</f>
        <v>476.5</v>
      </c>
      <c r="F35" s="153"/>
      <c r="G35" s="153"/>
      <c r="H35" s="153"/>
    </row>
    <row r="36" spans="1:8" ht="13.5">
      <c r="A36" s="306" t="s">
        <v>156</v>
      </c>
      <c r="B36" s="307"/>
      <c r="C36" s="307"/>
      <c r="D36" s="308"/>
      <c r="E36" s="309"/>
      <c r="F36" s="153"/>
      <c r="G36" s="153"/>
      <c r="H36" s="153"/>
    </row>
    <row r="37" spans="1:8" ht="13.5">
      <c r="A37" s="310" t="s">
        <v>148</v>
      </c>
      <c r="B37" s="311"/>
      <c r="C37" s="311"/>
      <c r="D37" s="312"/>
      <c r="E37" s="313"/>
      <c r="F37" s="153"/>
      <c r="G37" s="153"/>
      <c r="H37" s="153"/>
    </row>
    <row r="38" spans="1:8" ht="13.5">
      <c r="A38" s="310" t="s">
        <v>157</v>
      </c>
      <c r="B38" s="311"/>
      <c r="C38" s="311">
        <v>214500</v>
      </c>
      <c r="D38" s="312">
        <v>1.4765</v>
      </c>
      <c r="E38" s="313">
        <f>ROUND(C38*D38,2)</f>
        <v>316709.25</v>
      </c>
      <c r="F38" s="153"/>
      <c r="G38" s="153"/>
      <c r="H38" s="153"/>
    </row>
    <row r="39" spans="1:8" ht="13.5">
      <c r="A39" s="310" t="s">
        <v>271</v>
      </c>
      <c r="B39" s="311"/>
      <c r="C39" s="311">
        <v>-11233.02</v>
      </c>
      <c r="D39" s="312">
        <v>1.4765</v>
      </c>
      <c r="E39" s="349">
        <f>ROUND(C39*D39,2)</f>
        <v>-16585.55</v>
      </c>
      <c r="F39" s="153"/>
      <c r="G39" s="153"/>
      <c r="H39" s="153"/>
    </row>
    <row r="40" spans="1:8" ht="13.5">
      <c r="A40" s="310" t="s">
        <v>270</v>
      </c>
      <c r="B40" s="311"/>
      <c r="C40" s="311"/>
      <c r="D40" s="312"/>
      <c r="E40" s="313">
        <f>SUM(E38:E39)</f>
        <v>300123.7</v>
      </c>
      <c r="F40" s="153"/>
      <c r="G40" s="153"/>
      <c r="H40" s="153"/>
    </row>
    <row r="41" spans="1:8" ht="13.5">
      <c r="A41" s="310" t="s">
        <v>273</v>
      </c>
      <c r="B41" s="311"/>
      <c r="C41" s="311">
        <v>129750</v>
      </c>
      <c r="D41" s="312">
        <v>1.4765</v>
      </c>
      <c r="E41" s="349">
        <f>ROUND(C41*D41,2)</f>
        <v>191575.88</v>
      </c>
      <c r="F41" s="153"/>
      <c r="H41" s="153"/>
    </row>
    <row r="42" spans="1:8" ht="13.5">
      <c r="A42" s="310" t="s">
        <v>272</v>
      </c>
      <c r="B42" s="311"/>
      <c r="C42" s="311"/>
      <c r="D42" s="312"/>
      <c r="E42" s="313">
        <f>SUM(E40:E41)</f>
        <v>491699.58</v>
      </c>
      <c r="F42" s="153"/>
      <c r="G42" s="153"/>
      <c r="H42" s="153"/>
    </row>
    <row r="43" spans="1:8" ht="13.5">
      <c r="A43" s="310" t="s">
        <v>158</v>
      </c>
      <c r="B43" s="311"/>
      <c r="C43" s="311"/>
      <c r="D43" s="312"/>
      <c r="E43" s="313"/>
      <c r="F43" s="153"/>
      <c r="G43" s="153"/>
      <c r="H43" s="153"/>
    </row>
    <row r="44" spans="1:8" ht="13.5">
      <c r="A44" s="310" t="s">
        <v>159</v>
      </c>
      <c r="B44" s="311"/>
      <c r="C44" s="311"/>
      <c r="D44" s="312"/>
      <c r="E44" s="313">
        <f>C44*D44</f>
        <v>0</v>
      </c>
      <c r="F44" s="153"/>
      <c r="G44" s="153"/>
      <c r="H44" s="153"/>
    </row>
    <row r="45" spans="1:8" ht="13.5">
      <c r="A45" s="310" t="s">
        <v>244</v>
      </c>
      <c r="B45" s="311"/>
      <c r="C45" s="311">
        <v>-20350</v>
      </c>
      <c r="D45" s="312">
        <v>1.3474</v>
      </c>
      <c r="E45" s="313">
        <f>ROUND(C45*D45,2)</f>
        <v>-27419.59</v>
      </c>
      <c r="F45" s="153"/>
      <c r="G45" s="153"/>
      <c r="H45" s="153"/>
    </row>
    <row r="46" spans="1:8" ht="14.25" thickBot="1">
      <c r="A46" s="310" t="s">
        <v>160</v>
      </c>
      <c r="B46" s="311"/>
      <c r="C46" s="314"/>
      <c r="D46" s="315"/>
      <c r="E46" s="316"/>
      <c r="F46" s="153"/>
      <c r="G46" s="153"/>
      <c r="H46" s="153"/>
    </row>
    <row r="47" spans="1:8" ht="13.5">
      <c r="A47" s="310" t="s">
        <v>161</v>
      </c>
      <c r="B47" s="311"/>
      <c r="C47" s="311"/>
      <c r="D47" s="312"/>
      <c r="E47" s="313">
        <f>SUM(E42:E46)</f>
        <v>464279.99</v>
      </c>
      <c r="F47" s="153"/>
      <c r="G47" s="153"/>
      <c r="H47" s="153"/>
    </row>
    <row r="48" spans="1:8" ht="14.25" thickBot="1">
      <c r="A48" s="310" t="s">
        <v>162</v>
      </c>
      <c r="B48" s="311"/>
      <c r="C48" s="311"/>
      <c r="D48" s="312"/>
      <c r="E48" s="313">
        <f>+(214500+118516.98-20350)</f>
        <v>312666.98</v>
      </c>
      <c r="F48" s="153"/>
      <c r="G48" s="153"/>
      <c r="H48" s="153"/>
    </row>
    <row r="49" spans="1:8" ht="14.25" thickBot="1">
      <c r="A49" s="317" t="s">
        <v>163</v>
      </c>
      <c r="B49" s="314"/>
      <c r="C49" s="314"/>
      <c r="D49" s="315"/>
      <c r="E49" s="319">
        <f>E47-E48</f>
        <v>151613.01</v>
      </c>
      <c r="F49" s="153"/>
      <c r="G49" s="153"/>
      <c r="H49" s="153"/>
    </row>
    <row r="50" spans="1:8" ht="13.5">
      <c r="A50" s="156" t="s">
        <v>164</v>
      </c>
      <c r="B50" s="233">
        <f>SUM(C51:C54)</f>
        <v>159824.54</v>
      </c>
      <c r="C50" s="157"/>
      <c r="F50" s="153"/>
      <c r="G50" s="153"/>
      <c r="H50" s="153"/>
    </row>
    <row r="51" spans="1:8" ht="13.5">
      <c r="A51" s="158" t="s">
        <v>165</v>
      </c>
      <c r="B51" s="159"/>
      <c r="C51" s="160">
        <f>E15</f>
        <v>7735.029999999999</v>
      </c>
      <c r="F51" s="153"/>
      <c r="G51" s="153"/>
      <c r="H51" s="153"/>
    </row>
    <row r="52" spans="1:8" ht="13.5">
      <c r="A52" s="158" t="s">
        <v>228</v>
      </c>
      <c r="B52" s="159"/>
      <c r="C52" s="160">
        <f>+E26</f>
        <v>0</v>
      </c>
      <c r="F52" s="153"/>
      <c r="G52" s="153"/>
      <c r="H52" s="153"/>
    </row>
    <row r="53" spans="1:8" ht="13.5">
      <c r="A53" s="158" t="s">
        <v>166</v>
      </c>
      <c r="B53" s="159"/>
      <c r="C53" s="160">
        <f>E35</f>
        <v>476.5</v>
      </c>
      <c r="F53" s="153"/>
      <c r="G53" s="153"/>
      <c r="H53" s="153"/>
    </row>
    <row r="54" spans="1:8" ht="14.25" thickBot="1">
      <c r="A54" s="161" t="s">
        <v>167</v>
      </c>
      <c r="B54" s="162"/>
      <c r="C54" s="234">
        <f>E49</f>
        <v>151613.01</v>
      </c>
      <c r="F54" s="153"/>
      <c r="G54" s="153"/>
      <c r="H54" s="153"/>
    </row>
  </sheetData>
  <sheetProtection/>
  <printOptions horizontalCentered="1"/>
  <pageMargins left="0.33" right="0.32" top="0.32" bottom="0.34" header="0.31496062992125984" footer="0.31496062992125984"/>
  <pageSetup cellComments="asDisplayed" fitToHeight="1" fitToWidth="1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58" zoomScaleNormal="58" zoomScalePageLayoutView="0" workbookViewId="0" topLeftCell="A1">
      <selection activeCell="A1" sqref="A1"/>
    </sheetView>
  </sheetViews>
  <sheetFormatPr defaultColWidth="17.00390625" defaultRowHeight="15"/>
  <cols>
    <col min="1" max="1" width="14.00390625" style="89" customWidth="1"/>
    <col min="2" max="2" width="10.57421875" style="89" customWidth="1"/>
    <col min="3" max="3" width="17.57421875" style="89" customWidth="1"/>
    <col min="4" max="4" width="8.00390625" style="68" customWidth="1"/>
    <col min="5" max="5" width="15.421875" style="68" customWidth="1"/>
    <col min="6" max="7" width="17.00390625" style="68" customWidth="1"/>
    <col min="8" max="8" width="21.57421875" style="68" customWidth="1"/>
    <col min="9" max="9" width="2.140625" style="68" customWidth="1"/>
    <col min="10" max="13" width="17.00390625" style="68" customWidth="1"/>
    <col min="14" max="14" width="3.28125" style="68" customWidth="1"/>
    <col min="15" max="253" width="17.00390625" style="68" customWidth="1"/>
    <col min="254" max="254" width="14.00390625" style="68" customWidth="1"/>
    <col min="255" max="16384" width="19.28125" style="68" customWidth="1"/>
  </cols>
  <sheetData>
    <row r="1" spans="1:3" ht="18">
      <c r="A1" s="67" t="s">
        <v>254</v>
      </c>
      <c r="B1" s="67"/>
      <c r="C1" s="67"/>
    </row>
    <row r="2" spans="1:11" ht="18">
      <c r="A2" s="460" t="s">
        <v>204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3" ht="18.75" thickBot="1">
      <c r="A3" s="67"/>
      <c r="B3" s="67"/>
      <c r="C3" s="67"/>
    </row>
    <row r="4" spans="1:18" s="69" customFormat="1" ht="18.75" thickBot="1">
      <c r="A4" s="255"/>
      <c r="B4" s="421" t="s">
        <v>45</v>
      </c>
      <c r="C4" s="422"/>
      <c r="D4" s="423"/>
      <c r="E4" s="430" t="s">
        <v>205</v>
      </c>
      <c r="F4" s="432"/>
      <c r="G4" s="432"/>
      <c r="H4" s="431"/>
      <c r="J4" s="430" t="s">
        <v>168</v>
      </c>
      <c r="K4" s="432"/>
      <c r="L4" s="432"/>
      <c r="M4" s="431"/>
      <c r="O4" s="430" t="s">
        <v>206</v>
      </c>
      <c r="P4" s="432"/>
      <c r="Q4" s="432"/>
      <c r="R4" s="431"/>
    </row>
    <row r="5" spans="1:18" s="69" customFormat="1" ht="18" thickBot="1">
      <c r="A5" s="256"/>
      <c r="B5" s="424"/>
      <c r="C5" s="425"/>
      <c r="D5" s="426"/>
      <c r="E5" s="430" t="s">
        <v>74</v>
      </c>
      <c r="F5" s="431"/>
      <c r="G5" s="421" t="s">
        <v>87</v>
      </c>
      <c r="H5" s="423"/>
      <c r="J5" s="430" t="s">
        <v>74</v>
      </c>
      <c r="K5" s="431"/>
      <c r="L5" s="421" t="s">
        <v>87</v>
      </c>
      <c r="M5" s="423"/>
      <c r="O5" s="430" t="s">
        <v>74</v>
      </c>
      <c r="P5" s="431"/>
      <c r="Q5" s="421" t="s">
        <v>87</v>
      </c>
      <c r="R5" s="423"/>
    </row>
    <row r="6" spans="1:18" s="69" customFormat="1" ht="18" thickBot="1">
      <c r="A6" s="257" t="s">
        <v>86</v>
      </c>
      <c r="B6" s="427"/>
      <c r="C6" s="428"/>
      <c r="D6" s="429"/>
      <c r="E6" s="182" t="s">
        <v>199</v>
      </c>
      <c r="F6" s="182" t="s">
        <v>200</v>
      </c>
      <c r="G6" s="321" t="s">
        <v>199</v>
      </c>
      <c r="H6" s="321" t="s">
        <v>200</v>
      </c>
      <c r="J6" s="182" t="s">
        <v>199</v>
      </c>
      <c r="K6" s="182" t="s">
        <v>200</v>
      </c>
      <c r="L6" s="321" t="s">
        <v>199</v>
      </c>
      <c r="M6" s="321" t="s">
        <v>200</v>
      </c>
      <c r="O6" s="182" t="s">
        <v>199</v>
      </c>
      <c r="P6" s="182" t="s">
        <v>200</v>
      </c>
      <c r="Q6" s="321" t="s">
        <v>199</v>
      </c>
      <c r="R6" s="321" t="s">
        <v>200</v>
      </c>
    </row>
    <row r="7" spans="1:18" ht="17.25">
      <c r="A7" s="258">
        <v>1</v>
      </c>
      <c r="B7" s="261" t="s">
        <v>177</v>
      </c>
      <c r="C7" s="259" t="s">
        <v>187</v>
      </c>
      <c r="D7" s="260">
        <f>+184.2552/126.9887</f>
        <v>1.4509574473949258</v>
      </c>
      <c r="E7" s="71">
        <v>0</v>
      </c>
      <c r="F7" s="174">
        <v>14000</v>
      </c>
      <c r="G7" s="322">
        <f aca="true" t="shared" si="0" ref="G7:H18">ROUND(($D7*E7),2)</f>
        <v>0</v>
      </c>
      <c r="H7" s="323">
        <f t="shared" si="0"/>
        <v>20313.4</v>
      </c>
      <c r="J7" s="71">
        <v>5000</v>
      </c>
      <c r="K7" s="174">
        <v>0</v>
      </c>
      <c r="L7" s="322">
        <f aca="true" t="shared" si="1" ref="L7:L18">ROUND(($D7*J7),2)</f>
        <v>7254.79</v>
      </c>
      <c r="M7" s="323">
        <f aca="true" t="shared" si="2" ref="M7:M18">ROUND(($D7*K7),2)</f>
        <v>0</v>
      </c>
      <c r="O7" s="71">
        <v>0</v>
      </c>
      <c r="P7" s="174">
        <v>0</v>
      </c>
      <c r="Q7" s="322">
        <f aca="true" t="shared" si="3" ref="Q7:Q18">ROUND(($D7*O7),2)</f>
        <v>0</v>
      </c>
      <c r="R7" s="323">
        <f aca="true" t="shared" si="4" ref="R7:R18">ROUND(($D7*P7),2)</f>
        <v>0</v>
      </c>
    </row>
    <row r="8" spans="1:18" ht="17.25">
      <c r="A8" s="258">
        <v>2</v>
      </c>
      <c r="B8" s="261" t="s">
        <v>178</v>
      </c>
      <c r="C8" s="259" t="s">
        <v>188</v>
      </c>
      <c r="D8" s="260">
        <f>184.2552/130.0606</f>
        <v>1.4166872980748975</v>
      </c>
      <c r="E8" s="71">
        <v>0</v>
      </c>
      <c r="F8" s="174">
        <v>0</v>
      </c>
      <c r="G8" s="322">
        <f t="shared" si="0"/>
        <v>0</v>
      </c>
      <c r="H8" s="323">
        <f t="shared" si="0"/>
        <v>0</v>
      </c>
      <c r="J8" s="71">
        <v>0</v>
      </c>
      <c r="K8" s="174">
        <v>0</v>
      </c>
      <c r="L8" s="322">
        <f t="shared" si="1"/>
        <v>0</v>
      </c>
      <c r="M8" s="323">
        <f t="shared" si="2"/>
        <v>0</v>
      </c>
      <c r="O8" s="71">
        <v>0</v>
      </c>
      <c r="P8" s="174">
        <v>0</v>
      </c>
      <c r="Q8" s="322">
        <f t="shared" si="3"/>
        <v>0</v>
      </c>
      <c r="R8" s="323">
        <f t="shared" si="4"/>
        <v>0</v>
      </c>
    </row>
    <row r="9" spans="1:18" ht="17.25">
      <c r="A9" s="258">
        <v>3</v>
      </c>
      <c r="B9" s="261" t="s">
        <v>179</v>
      </c>
      <c r="C9" s="259" t="s">
        <v>189</v>
      </c>
      <c r="D9" s="260">
        <f>184.2552/133.1054</f>
        <v>1.3842804273906242</v>
      </c>
      <c r="E9" s="71">
        <v>0</v>
      </c>
      <c r="F9" s="174">
        <v>0</v>
      </c>
      <c r="G9" s="322">
        <f t="shared" si="0"/>
        <v>0</v>
      </c>
      <c r="H9" s="323">
        <f t="shared" si="0"/>
        <v>0</v>
      </c>
      <c r="J9" s="71">
        <v>0</v>
      </c>
      <c r="K9" s="174">
        <v>0</v>
      </c>
      <c r="L9" s="322">
        <f t="shared" si="1"/>
        <v>0</v>
      </c>
      <c r="M9" s="323">
        <f t="shared" si="2"/>
        <v>0</v>
      </c>
      <c r="O9" s="71">
        <v>0</v>
      </c>
      <c r="P9" s="174">
        <v>0</v>
      </c>
      <c r="Q9" s="322">
        <f t="shared" si="3"/>
        <v>0</v>
      </c>
      <c r="R9" s="323">
        <f t="shared" si="4"/>
        <v>0</v>
      </c>
    </row>
    <row r="10" spans="1:18" ht="17.25">
      <c r="A10" s="258">
        <v>4</v>
      </c>
      <c r="B10" s="261" t="s">
        <v>180</v>
      </c>
      <c r="C10" s="259" t="s">
        <v>190</v>
      </c>
      <c r="D10" s="260">
        <f>184.2552/136.7512</f>
        <v>1.3473753795213497</v>
      </c>
      <c r="E10" s="71">
        <v>0</v>
      </c>
      <c r="F10" s="174">
        <v>0</v>
      </c>
      <c r="G10" s="322">
        <f t="shared" si="0"/>
        <v>0</v>
      </c>
      <c r="H10" s="323">
        <f t="shared" si="0"/>
        <v>0</v>
      </c>
      <c r="J10" s="71">
        <v>0</v>
      </c>
      <c r="K10" s="174">
        <v>0</v>
      </c>
      <c r="L10" s="322">
        <f t="shared" si="1"/>
        <v>0</v>
      </c>
      <c r="M10" s="323">
        <f t="shared" si="2"/>
        <v>0</v>
      </c>
      <c r="O10" s="71">
        <v>0</v>
      </c>
      <c r="P10" s="174">
        <v>0</v>
      </c>
      <c r="Q10" s="322">
        <f t="shared" si="3"/>
        <v>0</v>
      </c>
      <c r="R10" s="323">
        <f t="shared" si="4"/>
        <v>0</v>
      </c>
    </row>
    <row r="11" spans="1:18" ht="17.25">
      <c r="A11" s="258">
        <v>5</v>
      </c>
      <c r="B11" s="261" t="s">
        <v>179</v>
      </c>
      <c r="C11" s="259" t="s">
        <v>191</v>
      </c>
      <c r="D11" s="260">
        <f>184.2552/139.5893</f>
        <v>1.3199808294761848</v>
      </c>
      <c r="E11" s="71">
        <v>0</v>
      </c>
      <c r="F11" s="174">
        <v>0</v>
      </c>
      <c r="G11" s="322">
        <f t="shared" si="0"/>
        <v>0</v>
      </c>
      <c r="H11" s="323">
        <f t="shared" si="0"/>
        <v>0</v>
      </c>
      <c r="J11" s="71">
        <v>0</v>
      </c>
      <c r="K11" s="174">
        <v>0</v>
      </c>
      <c r="L11" s="322">
        <f t="shared" si="1"/>
        <v>0</v>
      </c>
      <c r="M11" s="323">
        <f t="shared" si="2"/>
        <v>0</v>
      </c>
      <c r="O11" s="71">
        <v>0</v>
      </c>
      <c r="P11" s="174">
        <v>0</v>
      </c>
      <c r="Q11" s="322">
        <f t="shared" si="3"/>
        <v>0</v>
      </c>
      <c r="R11" s="323">
        <f t="shared" si="4"/>
        <v>0</v>
      </c>
    </row>
    <row r="12" spans="1:18" ht="17.25">
      <c r="A12" s="258">
        <v>6</v>
      </c>
      <c r="B12" s="261" t="s">
        <v>181</v>
      </c>
      <c r="C12" s="259" t="s">
        <v>192</v>
      </c>
      <c r="D12" s="260">
        <f>184.2552/144.8053</f>
        <v>1.272434089083756</v>
      </c>
      <c r="E12" s="71">
        <v>0</v>
      </c>
      <c r="F12" s="174">
        <v>0</v>
      </c>
      <c r="G12" s="322">
        <f t="shared" si="0"/>
        <v>0</v>
      </c>
      <c r="H12" s="323">
        <f t="shared" si="0"/>
        <v>0</v>
      </c>
      <c r="J12" s="71">
        <v>0</v>
      </c>
      <c r="K12" s="174">
        <v>0</v>
      </c>
      <c r="L12" s="322">
        <f t="shared" si="1"/>
        <v>0</v>
      </c>
      <c r="M12" s="323">
        <f t="shared" si="2"/>
        <v>0</v>
      </c>
      <c r="O12" s="71">
        <v>0</v>
      </c>
      <c r="P12" s="174">
        <v>0</v>
      </c>
      <c r="Q12" s="322">
        <f t="shared" si="3"/>
        <v>0</v>
      </c>
      <c r="R12" s="323">
        <f t="shared" si="4"/>
        <v>0</v>
      </c>
    </row>
    <row r="13" spans="1:18" ht="17.25">
      <c r="A13" s="258">
        <v>7</v>
      </c>
      <c r="B13" s="261" t="s">
        <v>181</v>
      </c>
      <c r="C13" s="259" t="s">
        <v>193</v>
      </c>
      <c r="D13" s="260">
        <f>184.2552/149.2966</f>
        <v>1.2341553658958073</v>
      </c>
      <c r="E13" s="71">
        <v>0</v>
      </c>
      <c r="F13" s="174">
        <v>0</v>
      </c>
      <c r="G13" s="322">
        <f t="shared" si="0"/>
        <v>0</v>
      </c>
      <c r="H13" s="323">
        <f t="shared" si="0"/>
        <v>0</v>
      </c>
      <c r="J13" s="71">
        <v>0</v>
      </c>
      <c r="K13" s="174">
        <v>0</v>
      </c>
      <c r="L13" s="322">
        <f t="shared" si="1"/>
        <v>0</v>
      </c>
      <c r="M13" s="323">
        <f t="shared" si="2"/>
        <v>0</v>
      </c>
      <c r="O13" s="71">
        <v>0</v>
      </c>
      <c r="P13" s="174">
        <v>0</v>
      </c>
      <c r="Q13" s="322">
        <f t="shared" si="3"/>
        <v>0</v>
      </c>
      <c r="R13" s="323">
        <f t="shared" si="4"/>
        <v>0</v>
      </c>
    </row>
    <row r="14" spans="1:18" ht="17.25">
      <c r="A14" s="258">
        <v>8</v>
      </c>
      <c r="B14" s="261" t="s">
        <v>180</v>
      </c>
      <c r="C14" s="259" t="s">
        <v>194</v>
      </c>
      <c r="D14" s="260">
        <f>184.2552/155.1034</f>
        <v>1.1879507476947637</v>
      </c>
      <c r="E14" s="71">
        <v>0</v>
      </c>
      <c r="F14" s="174">
        <v>0</v>
      </c>
      <c r="G14" s="322">
        <f t="shared" si="0"/>
        <v>0</v>
      </c>
      <c r="H14" s="323">
        <f t="shared" si="0"/>
        <v>0</v>
      </c>
      <c r="J14" s="71">
        <v>0</v>
      </c>
      <c r="K14" s="174">
        <v>0</v>
      </c>
      <c r="L14" s="322">
        <f t="shared" si="1"/>
        <v>0</v>
      </c>
      <c r="M14" s="323">
        <f t="shared" si="2"/>
        <v>0</v>
      </c>
      <c r="O14" s="71">
        <v>0</v>
      </c>
      <c r="P14" s="174">
        <v>0</v>
      </c>
      <c r="Q14" s="322">
        <f t="shared" si="3"/>
        <v>0</v>
      </c>
      <c r="R14" s="323">
        <f t="shared" si="4"/>
        <v>0</v>
      </c>
    </row>
    <row r="15" spans="1:18" ht="17.25">
      <c r="A15" s="258">
        <v>9</v>
      </c>
      <c r="B15" s="261" t="s">
        <v>182</v>
      </c>
      <c r="C15" s="259" t="s">
        <v>195</v>
      </c>
      <c r="D15" s="260">
        <f>184.2552/165.2383</f>
        <v>1.115087724819246</v>
      </c>
      <c r="E15" s="71">
        <v>0</v>
      </c>
      <c r="F15" s="174">
        <v>0</v>
      </c>
      <c r="G15" s="322">
        <f t="shared" si="0"/>
        <v>0</v>
      </c>
      <c r="H15" s="323">
        <f t="shared" si="0"/>
        <v>0</v>
      </c>
      <c r="J15" s="71">
        <v>0</v>
      </c>
      <c r="K15" s="174">
        <v>0</v>
      </c>
      <c r="L15" s="322">
        <f t="shared" si="1"/>
        <v>0</v>
      </c>
      <c r="M15" s="323">
        <f t="shared" si="2"/>
        <v>0</v>
      </c>
      <c r="O15" s="71">
        <v>0</v>
      </c>
      <c r="P15" s="174">
        <v>0</v>
      </c>
      <c r="Q15" s="322">
        <f t="shared" si="3"/>
        <v>0</v>
      </c>
      <c r="R15" s="323">
        <f t="shared" si="4"/>
        <v>0</v>
      </c>
    </row>
    <row r="16" spans="1:18" ht="17.25">
      <c r="A16" s="258">
        <v>10</v>
      </c>
      <c r="B16" s="261" t="s">
        <v>183</v>
      </c>
      <c r="C16" s="259" t="s">
        <v>196</v>
      </c>
      <c r="D16" s="260">
        <f>184.2552/174.1473</f>
        <v>1.0580422435489956</v>
      </c>
      <c r="E16" s="71">
        <v>0</v>
      </c>
      <c r="F16" s="174">
        <v>0</v>
      </c>
      <c r="G16" s="322">
        <f t="shared" si="0"/>
        <v>0</v>
      </c>
      <c r="H16" s="323">
        <f t="shared" si="0"/>
        <v>0</v>
      </c>
      <c r="J16" s="71">
        <v>0</v>
      </c>
      <c r="K16" s="174">
        <v>0</v>
      </c>
      <c r="L16" s="322">
        <f t="shared" si="1"/>
        <v>0</v>
      </c>
      <c r="M16" s="323">
        <f t="shared" si="2"/>
        <v>0</v>
      </c>
      <c r="O16" s="71">
        <v>0</v>
      </c>
      <c r="P16" s="174">
        <v>0</v>
      </c>
      <c r="Q16" s="322">
        <f t="shared" si="3"/>
        <v>0</v>
      </c>
      <c r="R16" s="323">
        <f t="shared" si="4"/>
        <v>0</v>
      </c>
    </row>
    <row r="17" spans="1:18" ht="17.25">
      <c r="A17" s="258">
        <v>11</v>
      </c>
      <c r="B17" s="261" t="s">
        <v>184</v>
      </c>
      <c r="C17" s="259" t="s">
        <v>197</v>
      </c>
      <c r="D17" s="260">
        <f>184.2552/179.6388</f>
        <v>1.025698234457144</v>
      </c>
      <c r="E17" s="71">
        <v>0</v>
      </c>
      <c r="F17" s="174">
        <v>0</v>
      </c>
      <c r="G17" s="322">
        <f t="shared" si="0"/>
        <v>0</v>
      </c>
      <c r="H17" s="323">
        <f t="shared" si="0"/>
        <v>0</v>
      </c>
      <c r="J17" s="71">
        <v>0</v>
      </c>
      <c r="K17" s="174">
        <v>0</v>
      </c>
      <c r="L17" s="322">
        <f t="shared" si="1"/>
        <v>0</v>
      </c>
      <c r="M17" s="323">
        <f t="shared" si="2"/>
        <v>0</v>
      </c>
      <c r="O17" s="71">
        <v>0</v>
      </c>
      <c r="P17" s="174">
        <v>0</v>
      </c>
      <c r="Q17" s="322">
        <f t="shared" si="3"/>
        <v>0</v>
      </c>
      <c r="R17" s="323">
        <f t="shared" si="4"/>
        <v>0</v>
      </c>
    </row>
    <row r="18" spans="1:18" ht="18" thickBot="1">
      <c r="A18" s="262">
        <v>12</v>
      </c>
      <c r="B18" s="263" t="s">
        <v>185</v>
      </c>
      <c r="C18" s="259" t="s">
        <v>198</v>
      </c>
      <c r="D18" s="260">
        <f>184.2552/184.2552</f>
        <v>1</v>
      </c>
      <c r="E18" s="71">
        <v>0</v>
      </c>
      <c r="F18" s="175">
        <v>0</v>
      </c>
      <c r="G18" s="322">
        <f t="shared" si="0"/>
        <v>0</v>
      </c>
      <c r="H18" s="323">
        <f t="shared" si="0"/>
        <v>0</v>
      </c>
      <c r="J18" s="71">
        <v>0</v>
      </c>
      <c r="K18" s="175">
        <v>0</v>
      </c>
      <c r="L18" s="322">
        <f t="shared" si="1"/>
        <v>0</v>
      </c>
      <c r="M18" s="323">
        <f t="shared" si="2"/>
        <v>0</v>
      </c>
      <c r="O18" s="71">
        <v>0</v>
      </c>
      <c r="P18" s="175">
        <v>0</v>
      </c>
      <c r="Q18" s="322">
        <f t="shared" si="3"/>
        <v>0</v>
      </c>
      <c r="R18" s="323">
        <f t="shared" si="4"/>
        <v>0</v>
      </c>
    </row>
    <row r="19" spans="1:18" s="69" customFormat="1" ht="18" thickBot="1">
      <c r="A19" s="264" t="s">
        <v>88</v>
      </c>
      <c r="B19" s="265"/>
      <c r="C19" s="265"/>
      <c r="D19" s="266"/>
      <c r="E19" s="72">
        <f>SUM(E7:E18)</f>
        <v>0</v>
      </c>
      <c r="F19" s="72">
        <f>SUM(F7:F18)</f>
        <v>14000</v>
      </c>
      <c r="G19" s="324">
        <f>SUM(G7:G18)</f>
        <v>0</v>
      </c>
      <c r="H19" s="324">
        <f>SUM(H7:H18)</f>
        <v>20313.4</v>
      </c>
      <c r="J19" s="72">
        <f>SUM(J7:J18)</f>
        <v>5000</v>
      </c>
      <c r="K19" s="72">
        <f>SUM(K7:K18)</f>
        <v>0</v>
      </c>
      <c r="L19" s="324">
        <f>SUM(L7:L18)</f>
        <v>7254.79</v>
      </c>
      <c r="M19" s="324">
        <f>SUM(M7:M18)</f>
        <v>0</v>
      </c>
      <c r="O19" s="72">
        <f>SUM(O7:O18)</f>
        <v>0</v>
      </c>
      <c r="P19" s="72">
        <f>SUM(P7:P18)</f>
        <v>0</v>
      </c>
      <c r="Q19" s="324">
        <f>SUM(Q7:Q18)</f>
        <v>0</v>
      </c>
      <c r="R19" s="324">
        <f>SUM(R7:R18)</f>
        <v>0</v>
      </c>
    </row>
    <row r="20" spans="1:18" ht="18" thickBot="1">
      <c r="A20" s="461" t="s">
        <v>201</v>
      </c>
      <c r="B20" s="462"/>
      <c r="C20" s="462"/>
      <c r="D20" s="463"/>
      <c r="E20" s="170">
        <f>IF(+E19-F19&gt;0,+E19-F19,0)</f>
        <v>0</v>
      </c>
      <c r="F20" s="170">
        <f>IF(+E19-F19&lt;0,(+E19-F19),0)</f>
        <v>-14000</v>
      </c>
      <c r="G20" s="170">
        <f>IF(+G19-H19&gt;0,+G19-H19,0)</f>
        <v>0</v>
      </c>
      <c r="H20" s="170">
        <f>IF(+G19-H19&lt;0,(+G19-H19),0)</f>
        <v>-20313.4</v>
      </c>
      <c r="J20" s="170">
        <f>IF(+J19-K19&gt;0,+J19-K19,0)</f>
        <v>5000</v>
      </c>
      <c r="K20" s="170">
        <f>IF(+J19-K19&lt;0,(+J19-K19),0)</f>
        <v>0</v>
      </c>
      <c r="L20" s="170">
        <f>IF(+L19-M19&gt;0,+L19-M19,0)</f>
        <v>7254.79</v>
      </c>
      <c r="M20" s="170">
        <f>IF(+L19-M19&lt;0,(+L19-M19),0)</f>
        <v>0</v>
      </c>
      <c r="O20" s="170">
        <f>IF(+O19-P19&gt;0,+O19-P19,0)</f>
        <v>0</v>
      </c>
      <c r="P20" s="170">
        <f>IF(+O19-P19&lt;0,(+O19-P19),0)</f>
        <v>0</v>
      </c>
      <c r="Q20" s="170">
        <f>IF(+Q19-R19&gt;0,+Q19-R19,0)</f>
        <v>0</v>
      </c>
      <c r="R20" s="170">
        <f>IF(+Q19-R19&lt;0,(+Q19-R19),0)</f>
        <v>0</v>
      </c>
    </row>
    <row r="21" spans="1:18" s="76" customFormat="1" ht="18" thickBot="1">
      <c r="A21" s="415" t="s">
        <v>202</v>
      </c>
      <c r="B21" s="416"/>
      <c r="C21" s="416"/>
      <c r="D21" s="417"/>
      <c r="E21" s="185">
        <f>H20+G20-F20-E20</f>
        <v>-6313.4000000000015</v>
      </c>
      <c r="F21" s="74"/>
      <c r="G21" s="74"/>
      <c r="H21" s="75"/>
      <c r="J21" s="185">
        <f>M20+L20-K20-J20</f>
        <v>2254.79</v>
      </c>
      <c r="K21" s="74"/>
      <c r="L21" s="74"/>
      <c r="M21" s="75"/>
      <c r="O21" s="185">
        <f>R20+Q20-P20-O20</f>
        <v>0</v>
      </c>
      <c r="P21" s="74"/>
      <c r="Q21" s="74"/>
      <c r="R21" s="75"/>
    </row>
    <row r="23" ht="18" thickBot="1"/>
    <row r="24" spans="1:18" ht="18" thickBot="1">
      <c r="A24" s="255"/>
      <c r="B24" s="421" t="s">
        <v>45</v>
      </c>
      <c r="C24" s="422"/>
      <c r="D24" s="423"/>
      <c r="E24" s="430" t="s">
        <v>207</v>
      </c>
      <c r="F24" s="432"/>
      <c r="G24" s="432"/>
      <c r="H24" s="431"/>
      <c r="I24" s="69"/>
      <c r="J24" s="430" t="s">
        <v>207</v>
      </c>
      <c r="K24" s="432"/>
      <c r="L24" s="432"/>
      <c r="M24" s="431"/>
      <c r="N24" s="69"/>
      <c r="O24" s="430" t="s">
        <v>207</v>
      </c>
      <c r="P24" s="432"/>
      <c r="Q24" s="432"/>
      <c r="R24" s="431"/>
    </row>
    <row r="25" spans="1:18" ht="18" thickBot="1">
      <c r="A25" s="256"/>
      <c r="B25" s="424"/>
      <c r="C25" s="425"/>
      <c r="D25" s="426"/>
      <c r="E25" s="430" t="s">
        <v>74</v>
      </c>
      <c r="F25" s="431"/>
      <c r="G25" s="421" t="s">
        <v>87</v>
      </c>
      <c r="H25" s="423"/>
      <c r="I25" s="69"/>
      <c r="J25" s="430" t="s">
        <v>74</v>
      </c>
      <c r="K25" s="431"/>
      <c r="L25" s="421" t="s">
        <v>87</v>
      </c>
      <c r="M25" s="423"/>
      <c r="N25" s="69"/>
      <c r="O25" s="430" t="s">
        <v>74</v>
      </c>
      <c r="P25" s="431"/>
      <c r="Q25" s="421" t="s">
        <v>87</v>
      </c>
      <c r="R25" s="423"/>
    </row>
    <row r="26" spans="1:18" ht="18" thickBot="1">
      <c r="A26" s="257" t="s">
        <v>86</v>
      </c>
      <c r="B26" s="427"/>
      <c r="C26" s="428"/>
      <c r="D26" s="429"/>
      <c r="E26" s="182" t="s">
        <v>199</v>
      </c>
      <c r="F26" s="182" t="s">
        <v>200</v>
      </c>
      <c r="G26" s="321" t="s">
        <v>199</v>
      </c>
      <c r="H26" s="321" t="s">
        <v>200</v>
      </c>
      <c r="I26" s="69"/>
      <c r="J26" s="182" t="s">
        <v>199</v>
      </c>
      <c r="K26" s="182" t="s">
        <v>200</v>
      </c>
      <c r="L26" s="321" t="s">
        <v>199</v>
      </c>
      <c r="M26" s="321" t="s">
        <v>200</v>
      </c>
      <c r="N26" s="69"/>
      <c r="O26" s="182" t="s">
        <v>199</v>
      </c>
      <c r="P26" s="182" t="s">
        <v>200</v>
      </c>
      <c r="Q26" s="321" t="s">
        <v>199</v>
      </c>
      <c r="R26" s="321" t="s">
        <v>200</v>
      </c>
    </row>
    <row r="27" spans="1:18" ht="17.25">
      <c r="A27" s="258">
        <v>1</v>
      </c>
      <c r="B27" s="261" t="s">
        <v>177</v>
      </c>
      <c r="C27" s="259" t="s">
        <v>187</v>
      </c>
      <c r="D27" s="260">
        <f>+184.2552/126.9887</f>
        <v>1.4509574473949258</v>
      </c>
      <c r="E27" s="71">
        <v>0</v>
      </c>
      <c r="F27" s="174">
        <v>0</v>
      </c>
      <c r="G27" s="322">
        <f aca="true" t="shared" si="5" ref="G27:G38">ROUND(($D27*E27),2)</f>
        <v>0</v>
      </c>
      <c r="H27" s="323">
        <f aca="true" t="shared" si="6" ref="H27:H38">ROUND(($D27*F27),2)</f>
        <v>0</v>
      </c>
      <c r="J27" s="71">
        <v>0</v>
      </c>
      <c r="K27" s="174">
        <v>0</v>
      </c>
      <c r="L27" s="322">
        <f aca="true" t="shared" si="7" ref="L27:L38">ROUND(($D27*J27),2)</f>
        <v>0</v>
      </c>
      <c r="M27" s="323">
        <f aca="true" t="shared" si="8" ref="M27:M38">ROUND(($D27*K27),2)</f>
        <v>0</v>
      </c>
      <c r="O27" s="71">
        <v>0</v>
      </c>
      <c r="P27" s="174">
        <v>0</v>
      </c>
      <c r="Q27" s="322">
        <f aca="true" t="shared" si="9" ref="Q27:Q38">ROUND(($D27*O27),2)</f>
        <v>0</v>
      </c>
      <c r="R27" s="323">
        <f aca="true" t="shared" si="10" ref="R27:R38">ROUND(($D27*P27),2)</f>
        <v>0</v>
      </c>
    </row>
    <row r="28" spans="1:18" ht="17.25">
      <c r="A28" s="258">
        <v>2</v>
      </c>
      <c r="B28" s="261" t="s">
        <v>178</v>
      </c>
      <c r="C28" s="259" t="s">
        <v>188</v>
      </c>
      <c r="D28" s="260">
        <f>184.2552/130.0606</f>
        <v>1.4166872980748975</v>
      </c>
      <c r="E28" s="71">
        <v>0</v>
      </c>
      <c r="F28" s="174">
        <v>0</v>
      </c>
      <c r="G28" s="322">
        <f t="shared" si="5"/>
        <v>0</v>
      </c>
      <c r="H28" s="323">
        <f t="shared" si="6"/>
        <v>0</v>
      </c>
      <c r="J28" s="71">
        <v>0</v>
      </c>
      <c r="K28" s="174">
        <v>0</v>
      </c>
      <c r="L28" s="322">
        <f t="shared" si="7"/>
        <v>0</v>
      </c>
      <c r="M28" s="323">
        <f t="shared" si="8"/>
        <v>0</v>
      </c>
      <c r="O28" s="71">
        <v>0</v>
      </c>
      <c r="P28" s="174">
        <v>0</v>
      </c>
      <c r="Q28" s="322">
        <f t="shared" si="9"/>
        <v>0</v>
      </c>
      <c r="R28" s="323">
        <f t="shared" si="10"/>
        <v>0</v>
      </c>
    </row>
    <row r="29" spans="1:18" ht="17.25">
      <c r="A29" s="258">
        <v>3</v>
      </c>
      <c r="B29" s="261" t="s">
        <v>179</v>
      </c>
      <c r="C29" s="259" t="s">
        <v>189</v>
      </c>
      <c r="D29" s="260">
        <f>184.2552/133.1054</f>
        <v>1.3842804273906242</v>
      </c>
      <c r="E29" s="71">
        <v>0</v>
      </c>
      <c r="F29" s="174">
        <v>0</v>
      </c>
      <c r="G29" s="322">
        <f t="shared" si="5"/>
        <v>0</v>
      </c>
      <c r="H29" s="323">
        <f t="shared" si="6"/>
        <v>0</v>
      </c>
      <c r="J29" s="71">
        <v>0</v>
      </c>
      <c r="K29" s="174">
        <v>0</v>
      </c>
      <c r="L29" s="322">
        <f t="shared" si="7"/>
        <v>0</v>
      </c>
      <c r="M29" s="323">
        <f t="shared" si="8"/>
        <v>0</v>
      </c>
      <c r="O29" s="71">
        <v>0</v>
      </c>
      <c r="P29" s="174">
        <v>0</v>
      </c>
      <c r="Q29" s="322">
        <f t="shared" si="9"/>
        <v>0</v>
      </c>
      <c r="R29" s="323">
        <f t="shared" si="10"/>
        <v>0</v>
      </c>
    </row>
    <row r="30" spans="1:18" ht="17.25">
      <c r="A30" s="258">
        <v>4</v>
      </c>
      <c r="B30" s="261" t="s">
        <v>180</v>
      </c>
      <c r="C30" s="259" t="s">
        <v>190</v>
      </c>
      <c r="D30" s="260">
        <f>184.2552/136.7512</f>
        <v>1.3473753795213497</v>
      </c>
      <c r="E30" s="71">
        <v>0</v>
      </c>
      <c r="F30" s="174">
        <v>0</v>
      </c>
      <c r="G30" s="322">
        <f t="shared" si="5"/>
        <v>0</v>
      </c>
      <c r="H30" s="323">
        <f t="shared" si="6"/>
        <v>0</v>
      </c>
      <c r="J30" s="71">
        <v>0</v>
      </c>
      <c r="K30" s="174">
        <v>0</v>
      </c>
      <c r="L30" s="322">
        <f t="shared" si="7"/>
        <v>0</v>
      </c>
      <c r="M30" s="323">
        <f t="shared" si="8"/>
        <v>0</v>
      </c>
      <c r="O30" s="71">
        <v>0</v>
      </c>
      <c r="P30" s="174">
        <v>0</v>
      </c>
      <c r="Q30" s="322">
        <f t="shared" si="9"/>
        <v>0</v>
      </c>
      <c r="R30" s="323">
        <f t="shared" si="10"/>
        <v>0</v>
      </c>
    </row>
    <row r="31" spans="1:18" ht="17.25">
      <c r="A31" s="258">
        <v>5</v>
      </c>
      <c r="B31" s="261" t="s">
        <v>179</v>
      </c>
      <c r="C31" s="259" t="s">
        <v>191</v>
      </c>
      <c r="D31" s="260">
        <f>184.2552/139.5893</f>
        <v>1.3199808294761848</v>
      </c>
      <c r="E31" s="71">
        <v>0</v>
      </c>
      <c r="F31" s="174">
        <v>0</v>
      </c>
      <c r="G31" s="322">
        <f t="shared" si="5"/>
        <v>0</v>
      </c>
      <c r="H31" s="323">
        <f t="shared" si="6"/>
        <v>0</v>
      </c>
      <c r="J31" s="71">
        <v>0</v>
      </c>
      <c r="K31" s="174">
        <v>0</v>
      </c>
      <c r="L31" s="322">
        <f t="shared" si="7"/>
        <v>0</v>
      </c>
      <c r="M31" s="323">
        <f t="shared" si="8"/>
        <v>0</v>
      </c>
      <c r="O31" s="71">
        <v>0</v>
      </c>
      <c r="P31" s="174">
        <v>0</v>
      </c>
      <c r="Q31" s="322">
        <f t="shared" si="9"/>
        <v>0</v>
      </c>
      <c r="R31" s="323">
        <f t="shared" si="10"/>
        <v>0</v>
      </c>
    </row>
    <row r="32" spans="1:18" ht="17.25">
      <c r="A32" s="258">
        <v>6</v>
      </c>
      <c r="B32" s="261" t="s">
        <v>181</v>
      </c>
      <c r="C32" s="259" t="s">
        <v>192</v>
      </c>
      <c r="D32" s="260">
        <f>184.2552/144.8053</f>
        <v>1.272434089083756</v>
      </c>
      <c r="E32" s="71">
        <v>0</v>
      </c>
      <c r="F32" s="174">
        <v>0</v>
      </c>
      <c r="G32" s="322">
        <f t="shared" si="5"/>
        <v>0</v>
      </c>
      <c r="H32" s="323">
        <f t="shared" si="6"/>
        <v>0</v>
      </c>
      <c r="J32" s="71">
        <v>0</v>
      </c>
      <c r="K32" s="174">
        <v>0</v>
      </c>
      <c r="L32" s="322">
        <f t="shared" si="7"/>
        <v>0</v>
      </c>
      <c r="M32" s="323">
        <f t="shared" si="8"/>
        <v>0</v>
      </c>
      <c r="O32" s="71">
        <v>0</v>
      </c>
      <c r="P32" s="174">
        <v>0</v>
      </c>
      <c r="Q32" s="322">
        <f t="shared" si="9"/>
        <v>0</v>
      </c>
      <c r="R32" s="323">
        <f t="shared" si="10"/>
        <v>0</v>
      </c>
    </row>
    <row r="33" spans="1:18" ht="17.25">
      <c r="A33" s="258">
        <v>7</v>
      </c>
      <c r="B33" s="261" t="s">
        <v>181</v>
      </c>
      <c r="C33" s="259" t="s">
        <v>193</v>
      </c>
      <c r="D33" s="260">
        <f>184.2552/149.2966</f>
        <v>1.2341553658958073</v>
      </c>
      <c r="E33" s="71">
        <v>0</v>
      </c>
      <c r="F33" s="174">
        <v>0</v>
      </c>
      <c r="G33" s="322">
        <f t="shared" si="5"/>
        <v>0</v>
      </c>
      <c r="H33" s="323">
        <f t="shared" si="6"/>
        <v>0</v>
      </c>
      <c r="J33" s="71">
        <v>0</v>
      </c>
      <c r="K33" s="174">
        <v>0</v>
      </c>
      <c r="L33" s="322">
        <f t="shared" si="7"/>
        <v>0</v>
      </c>
      <c r="M33" s="323">
        <f t="shared" si="8"/>
        <v>0</v>
      </c>
      <c r="O33" s="71">
        <v>0</v>
      </c>
      <c r="P33" s="174">
        <v>0</v>
      </c>
      <c r="Q33" s="322">
        <f t="shared" si="9"/>
        <v>0</v>
      </c>
      <c r="R33" s="323">
        <f t="shared" si="10"/>
        <v>0</v>
      </c>
    </row>
    <row r="34" spans="1:18" ht="17.25">
      <c r="A34" s="258">
        <v>8</v>
      </c>
      <c r="B34" s="261" t="s">
        <v>180</v>
      </c>
      <c r="C34" s="259" t="s">
        <v>194</v>
      </c>
      <c r="D34" s="260">
        <f>184.2552/155.1034</f>
        <v>1.1879507476947637</v>
      </c>
      <c r="E34" s="71">
        <v>0</v>
      </c>
      <c r="F34" s="174">
        <v>0</v>
      </c>
      <c r="G34" s="322">
        <f t="shared" si="5"/>
        <v>0</v>
      </c>
      <c r="H34" s="323">
        <f t="shared" si="6"/>
        <v>0</v>
      </c>
      <c r="J34" s="71">
        <v>0</v>
      </c>
      <c r="K34" s="174">
        <v>0</v>
      </c>
      <c r="L34" s="322">
        <f t="shared" si="7"/>
        <v>0</v>
      </c>
      <c r="M34" s="323">
        <f t="shared" si="8"/>
        <v>0</v>
      </c>
      <c r="O34" s="71">
        <v>0</v>
      </c>
      <c r="P34" s="174">
        <v>0</v>
      </c>
      <c r="Q34" s="322">
        <f t="shared" si="9"/>
        <v>0</v>
      </c>
      <c r="R34" s="323">
        <f t="shared" si="10"/>
        <v>0</v>
      </c>
    </row>
    <row r="35" spans="1:18" ht="17.25">
      <c r="A35" s="258">
        <v>9</v>
      </c>
      <c r="B35" s="261" t="s">
        <v>182</v>
      </c>
      <c r="C35" s="259" t="s">
        <v>195</v>
      </c>
      <c r="D35" s="260">
        <f>184.2552/165.2383</f>
        <v>1.115087724819246</v>
      </c>
      <c r="E35" s="71">
        <v>0</v>
      </c>
      <c r="F35" s="174">
        <v>0</v>
      </c>
      <c r="G35" s="322">
        <f t="shared" si="5"/>
        <v>0</v>
      </c>
      <c r="H35" s="323">
        <f t="shared" si="6"/>
        <v>0</v>
      </c>
      <c r="J35" s="71">
        <v>0</v>
      </c>
      <c r="K35" s="174">
        <v>0</v>
      </c>
      <c r="L35" s="322">
        <f t="shared" si="7"/>
        <v>0</v>
      </c>
      <c r="M35" s="323">
        <f t="shared" si="8"/>
        <v>0</v>
      </c>
      <c r="O35" s="71">
        <v>0</v>
      </c>
      <c r="P35" s="174">
        <v>0</v>
      </c>
      <c r="Q35" s="322">
        <f t="shared" si="9"/>
        <v>0</v>
      </c>
      <c r="R35" s="323">
        <f t="shared" si="10"/>
        <v>0</v>
      </c>
    </row>
    <row r="36" spans="1:18" ht="17.25">
      <c r="A36" s="258">
        <v>10</v>
      </c>
      <c r="B36" s="261" t="s">
        <v>183</v>
      </c>
      <c r="C36" s="259" t="s">
        <v>196</v>
      </c>
      <c r="D36" s="260">
        <f>184.2552/174.1473</f>
        <v>1.0580422435489956</v>
      </c>
      <c r="E36" s="71">
        <v>0</v>
      </c>
      <c r="F36" s="174">
        <v>0</v>
      </c>
      <c r="G36" s="322">
        <f t="shared" si="5"/>
        <v>0</v>
      </c>
      <c r="H36" s="323">
        <f t="shared" si="6"/>
        <v>0</v>
      </c>
      <c r="J36" s="71">
        <v>0</v>
      </c>
      <c r="K36" s="174">
        <v>0</v>
      </c>
      <c r="L36" s="322">
        <f t="shared" si="7"/>
        <v>0</v>
      </c>
      <c r="M36" s="323">
        <f t="shared" si="8"/>
        <v>0</v>
      </c>
      <c r="O36" s="71">
        <v>0</v>
      </c>
      <c r="P36" s="174">
        <v>0</v>
      </c>
      <c r="Q36" s="322">
        <f t="shared" si="9"/>
        <v>0</v>
      </c>
      <c r="R36" s="323">
        <f t="shared" si="10"/>
        <v>0</v>
      </c>
    </row>
    <row r="37" spans="1:18" ht="17.25">
      <c r="A37" s="258">
        <v>11</v>
      </c>
      <c r="B37" s="261" t="s">
        <v>184</v>
      </c>
      <c r="C37" s="259" t="s">
        <v>197</v>
      </c>
      <c r="D37" s="260">
        <f>184.2552/179.6388</f>
        <v>1.025698234457144</v>
      </c>
      <c r="E37" s="71">
        <v>0</v>
      </c>
      <c r="F37" s="174">
        <v>0</v>
      </c>
      <c r="G37" s="322">
        <f t="shared" si="5"/>
        <v>0</v>
      </c>
      <c r="H37" s="323">
        <f t="shared" si="6"/>
        <v>0</v>
      </c>
      <c r="J37" s="71">
        <v>0</v>
      </c>
      <c r="K37" s="174">
        <v>0</v>
      </c>
      <c r="L37" s="322">
        <f t="shared" si="7"/>
        <v>0</v>
      </c>
      <c r="M37" s="323">
        <f t="shared" si="8"/>
        <v>0</v>
      </c>
      <c r="O37" s="71">
        <v>0</v>
      </c>
      <c r="P37" s="174">
        <v>0</v>
      </c>
      <c r="Q37" s="322">
        <f t="shared" si="9"/>
        <v>0</v>
      </c>
      <c r="R37" s="323">
        <f t="shared" si="10"/>
        <v>0</v>
      </c>
    </row>
    <row r="38" spans="1:18" ht="18" thickBot="1">
      <c r="A38" s="262">
        <v>12</v>
      </c>
      <c r="B38" s="263" t="s">
        <v>185</v>
      </c>
      <c r="C38" s="259" t="s">
        <v>198</v>
      </c>
      <c r="D38" s="260">
        <f>184.2552/184.2552</f>
        <v>1</v>
      </c>
      <c r="E38" s="71">
        <v>0</v>
      </c>
      <c r="F38" s="175">
        <v>0</v>
      </c>
      <c r="G38" s="322">
        <f t="shared" si="5"/>
        <v>0</v>
      </c>
      <c r="H38" s="323">
        <f t="shared" si="6"/>
        <v>0</v>
      </c>
      <c r="J38" s="71">
        <v>0</v>
      </c>
      <c r="K38" s="175">
        <v>0</v>
      </c>
      <c r="L38" s="322">
        <f t="shared" si="7"/>
        <v>0</v>
      </c>
      <c r="M38" s="323">
        <f t="shared" si="8"/>
        <v>0</v>
      </c>
      <c r="O38" s="71">
        <v>0</v>
      </c>
      <c r="P38" s="175">
        <v>0</v>
      </c>
      <c r="Q38" s="322">
        <f t="shared" si="9"/>
        <v>0</v>
      </c>
      <c r="R38" s="323">
        <f t="shared" si="10"/>
        <v>0</v>
      </c>
    </row>
    <row r="39" spans="1:18" ht="18" thickBot="1">
      <c r="A39" s="264" t="s">
        <v>88</v>
      </c>
      <c r="B39" s="265"/>
      <c r="C39" s="265"/>
      <c r="D39" s="266"/>
      <c r="E39" s="72">
        <f>SUM(E27:E38)</f>
        <v>0</v>
      </c>
      <c r="F39" s="72">
        <f>SUM(F27:F38)</f>
        <v>0</v>
      </c>
      <c r="G39" s="324">
        <f>SUM(G27:G38)</f>
        <v>0</v>
      </c>
      <c r="H39" s="324">
        <f>SUM(H27:H38)</f>
        <v>0</v>
      </c>
      <c r="I39" s="69"/>
      <c r="J39" s="72">
        <f>SUM(J27:J38)</f>
        <v>0</v>
      </c>
      <c r="K39" s="72">
        <f>SUM(K27:K38)</f>
        <v>0</v>
      </c>
      <c r="L39" s="324">
        <f>SUM(L27:L38)</f>
        <v>0</v>
      </c>
      <c r="M39" s="324">
        <f>SUM(M27:M38)</f>
        <v>0</v>
      </c>
      <c r="N39" s="69"/>
      <c r="O39" s="72">
        <f>SUM(O27:O38)</f>
        <v>0</v>
      </c>
      <c r="P39" s="72">
        <f>SUM(P27:P38)</f>
        <v>0</v>
      </c>
      <c r="Q39" s="324">
        <f>SUM(Q27:Q38)</f>
        <v>0</v>
      </c>
      <c r="R39" s="324">
        <f>SUM(R27:R38)</f>
        <v>0</v>
      </c>
    </row>
    <row r="40" spans="1:18" ht="18" thickBot="1">
      <c r="A40" s="461" t="s">
        <v>201</v>
      </c>
      <c r="B40" s="462"/>
      <c r="C40" s="462"/>
      <c r="D40" s="463"/>
      <c r="E40" s="170">
        <f>+E39-F39</f>
        <v>0</v>
      </c>
      <c r="F40" s="73"/>
      <c r="G40" s="170">
        <f>+G39-H39</f>
        <v>0</v>
      </c>
      <c r="H40" s="73"/>
      <c r="J40" s="170">
        <f>+J39-K39</f>
        <v>0</v>
      </c>
      <c r="K40" s="73"/>
      <c r="L40" s="170">
        <f>+L39-M39</f>
        <v>0</v>
      </c>
      <c r="M40" s="73"/>
      <c r="O40" s="170">
        <f>+O39-P39</f>
        <v>0</v>
      </c>
      <c r="P40" s="73"/>
      <c r="Q40" s="170">
        <f>+Q39-R39</f>
        <v>0</v>
      </c>
      <c r="R40" s="73"/>
    </row>
    <row r="41" spans="1:18" ht="18" thickBot="1">
      <c r="A41" s="415" t="s">
        <v>202</v>
      </c>
      <c r="B41" s="416"/>
      <c r="C41" s="416"/>
      <c r="D41" s="417"/>
      <c r="E41" s="185">
        <f>+G40-E40</f>
        <v>0</v>
      </c>
      <c r="F41" s="74"/>
      <c r="G41" s="74"/>
      <c r="H41" s="75"/>
      <c r="I41" s="76"/>
      <c r="J41" s="185">
        <f>+L40-J40</f>
        <v>0</v>
      </c>
      <c r="K41" s="74"/>
      <c r="L41" s="74"/>
      <c r="M41" s="75"/>
      <c r="N41" s="76"/>
      <c r="O41" s="185">
        <f>+Q40-O40</f>
        <v>0</v>
      </c>
      <c r="P41" s="74"/>
      <c r="Q41" s="74"/>
      <c r="R41" s="75"/>
    </row>
    <row r="43" spans="1:7" ht="22.5">
      <c r="A43" s="467" t="s">
        <v>256</v>
      </c>
      <c r="B43" s="468"/>
      <c r="C43" s="468"/>
      <c r="D43" s="468"/>
      <c r="E43" s="468"/>
      <c r="F43" s="468"/>
      <c r="G43" s="469"/>
    </row>
    <row r="44" spans="1:8" ht="22.5">
      <c r="A44" s="464" t="str">
        <f>+E4</f>
        <v>VENTAS</v>
      </c>
      <c r="B44" s="465"/>
      <c r="C44" s="465"/>
      <c r="D44" s="465"/>
      <c r="E44" s="465"/>
      <c r="F44" s="328">
        <f>IF(+E21&gt;0,E21,0)</f>
        <v>0</v>
      </c>
      <c r="G44" s="329">
        <f>IF(+E21&lt;0,-E21,0)</f>
        <v>6313.4000000000015</v>
      </c>
      <c r="H44" s="326"/>
    </row>
    <row r="45" spans="1:8" ht="22.5">
      <c r="A45" s="466" t="str">
        <f>+J4</f>
        <v>HONORARIOS</v>
      </c>
      <c r="B45" s="466"/>
      <c r="C45" s="466"/>
      <c r="D45" s="466"/>
      <c r="E45" s="464"/>
      <c r="F45" s="328">
        <f>IF(+J21&gt;0,J21,0)</f>
        <v>2254.79</v>
      </c>
      <c r="G45" s="329">
        <f>IF(+J21&lt;0,-J21,0)</f>
        <v>0</v>
      </c>
      <c r="H45" s="326"/>
    </row>
    <row r="46" spans="1:8" ht="22.5">
      <c r="A46" s="466" t="str">
        <f>+O4</f>
        <v>FLETES MERCADERIAS REMITIDAS</v>
      </c>
      <c r="B46" s="466"/>
      <c r="C46" s="466"/>
      <c r="D46" s="466"/>
      <c r="E46" s="464"/>
      <c r="F46" s="328">
        <f>IF(+O21&gt;0,O21,0)</f>
        <v>0</v>
      </c>
      <c r="G46" s="329">
        <f>IF(+O21&lt;0,-O21,0)</f>
        <v>0</v>
      </c>
      <c r="H46" s="326"/>
    </row>
    <row r="47" spans="1:8" ht="22.5">
      <c r="A47" s="466" t="str">
        <f>+E24</f>
        <v> …………….</v>
      </c>
      <c r="B47" s="466"/>
      <c r="C47" s="466"/>
      <c r="D47" s="466"/>
      <c r="E47" s="464"/>
      <c r="F47" s="328">
        <f>IF(+E41&gt;0,E41,0)</f>
        <v>0</v>
      </c>
      <c r="G47" s="329">
        <f>IF(+E41&lt;0,-E41,0)</f>
        <v>0</v>
      </c>
      <c r="H47" s="327"/>
    </row>
    <row r="48" spans="1:8" ht="22.5">
      <c r="A48" s="466" t="str">
        <f>+J24</f>
        <v> …………….</v>
      </c>
      <c r="B48" s="466"/>
      <c r="C48" s="466"/>
      <c r="D48" s="466"/>
      <c r="E48" s="464"/>
      <c r="F48" s="328">
        <f>IF(+J41&gt;0,J41,0)</f>
        <v>0</v>
      </c>
      <c r="G48" s="329">
        <f>IF(+J41&lt;0,-J41,0)</f>
        <v>0</v>
      </c>
      <c r="H48" s="327"/>
    </row>
    <row r="49" spans="1:8" ht="22.5">
      <c r="A49" s="466" t="str">
        <f>+O24</f>
        <v> …………….</v>
      </c>
      <c r="B49" s="466"/>
      <c r="C49" s="466"/>
      <c r="D49" s="466"/>
      <c r="E49" s="464"/>
      <c r="F49" s="328">
        <f>IF(+O41&gt;0,O41,0)</f>
        <v>0</v>
      </c>
      <c r="G49" s="329">
        <f>IF(+O41&lt;0,-O41,0)</f>
        <v>0</v>
      </c>
      <c r="H49" s="327"/>
    </row>
    <row r="50" spans="1:8" ht="22.5">
      <c r="A50" s="471" t="s">
        <v>169</v>
      </c>
      <c r="B50" s="471"/>
      <c r="C50" s="471"/>
      <c r="D50" s="471"/>
      <c r="E50" s="472"/>
      <c r="F50" s="328">
        <f>IF(F44+F45+F46+F47+F48+F49-G44-G45-G47-G48-G49&lt;0,-(F44+F45+F46+F47+F48+F49-G44-G45-G47-G48-G49),0)</f>
        <v>4058.6100000000015</v>
      </c>
      <c r="G50" s="328">
        <f>IF(F44+F45+F46+F47+F48+F49-G44-G45-G47-G48-G49&gt;0,(F44+F45+F46+F47+F48+F49-G44-G45-G47-G48-G49),0)</f>
        <v>0</v>
      </c>
      <c r="H50" s="327"/>
    </row>
    <row r="51" spans="1:5" ht="17.25">
      <c r="A51" s="470"/>
      <c r="B51" s="470"/>
      <c r="C51" s="470"/>
      <c r="D51" s="470"/>
      <c r="E51" s="470"/>
    </row>
    <row r="52" spans="1:5" ht="17.25">
      <c r="A52" s="470"/>
      <c r="B52" s="470"/>
      <c r="C52" s="470"/>
      <c r="D52" s="470"/>
      <c r="E52" s="470"/>
    </row>
    <row r="53" spans="1:5" ht="17.25">
      <c r="A53" s="470"/>
      <c r="B53" s="470"/>
      <c r="C53" s="470"/>
      <c r="D53" s="470"/>
      <c r="E53" s="470"/>
    </row>
  </sheetData>
  <sheetProtection/>
  <mergeCells count="36">
    <mergeCell ref="A47:E47"/>
    <mergeCell ref="A48:E48"/>
    <mergeCell ref="A51:E51"/>
    <mergeCell ref="A52:E52"/>
    <mergeCell ref="A53:E53"/>
    <mergeCell ref="A49:E49"/>
    <mergeCell ref="A50:E50"/>
    <mergeCell ref="A44:E44"/>
    <mergeCell ref="J24:M24"/>
    <mergeCell ref="B24:D26"/>
    <mergeCell ref="A45:E45"/>
    <mergeCell ref="A46:E46"/>
    <mergeCell ref="A43:G43"/>
    <mergeCell ref="A40:D40"/>
    <mergeCell ref="A41:D41"/>
    <mergeCell ref="O4:R4"/>
    <mergeCell ref="O5:P5"/>
    <mergeCell ref="Q5:R5"/>
    <mergeCell ref="O24:R24"/>
    <mergeCell ref="E25:F25"/>
    <mergeCell ref="G25:H25"/>
    <mergeCell ref="J25:K25"/>
    <mergeCell ref="L25:M25"/>
    <mergeCell ref="O25:P25"/>
    <mergeCell ref="Q25:R25"/>
    <mergeCell ref="E24:H24"/>
    <mergeCell ref="A2:K2"/>
    <mergeCell ref="A21:D21"/>
    <mergeCell ref="B4:D6"/>
    <mergeCell ref="E4:H4"/>
    <mergeCell ref="E5:F5"/>
    <mergeCell ref="G5:H5"/>
    <mergeCell ref="A20:D20"/>
    <mergeCell ref="J4:M4"/>
    <mergeCell ref="J5:K5"/>
    <mergeCell ref="L5:M5"/>
  </mergeCells>
  <printOptions/>
  <pageMargins left="0.3" right="0.25" top="0.27" bottom="0.34" header="0.31496062992125984" footer="0.31496062992125984"/>
  <pageSetup cellComments="asDisplayed" fitToHeight="1" fitToWidth="1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54.7109375" style="0" customWidth="1"/>
    <col min="2" max="2" width="12.421875" style="0" bestFit="1" customWidth="1"/>
    <col min="3" max="3" width="13.7109375" style="0" customWidth="1"/>
    <col min="5" max="5" width="7.7109375" style="0" customWidth="1"/>
    <col min="6" max="6" width="5.7109375" style="0" customWidth="1"/>
  </cols>
  <sheetData>
    <row r="1" spans="1:3" ht="14.25">
      <c r="A1" s="474" t="s">
        <v>21</v>
      </c>
      <c r="B1" s="474"/>
      <c r="C1" s="474"/>
    </row>
    <row r="2" spans="1:4" ht="14.25">
      <c r="A2" s="475" t="s">
        <v>255</v>
      </c>
      <c r="B2" s="475"/>
      <c r="C2" s="475"/>
      <c r="D2" s="334"/>
    </row>
    <row r="3" ht="18">
      <c r="A3" s="189" t="s">
        <v>215</v>
      </c>
    </row>
    <row r="4" spans="1:6" ht="14.25">
      <c r="A4" s="196" t="s">
        <v>234</v>
      </c>
      <c r="B4" s="197"/>
      <c r="C4" s="197"/>
      <c r="D4" s="473" t="s">
        <v>235</v>
      </c>
      <c r="E4" s="473"/>
      <c r="F4" s="473"/>
    </row>
    <row r="5" spans="1:6" ht="14.25">
      <c r="A5" s="198" t="s">
        <v>266</v>
      </c>
      <c r="B5" s="221">
        <v>129750</v>
      </c>
      <c r="C5" s="222"/>
      <c r="D5" s="473"/>
      <c r="E5" s="473"/>
      <c r="F5" s="473"/>
    </row>
    <row r="6" spans="1:6" ht="14.25">
      <c r="A6" s="198" t="s">
        <v>58</v>
      </c>
      <c r="B6" s="221"/>
      <c r="C6" s="222">
        <v>11233.02</v>
      </c>
      <c r="D6" s="473"/>
      <c r="E6" s="473"/>
      <c r="F6" s="473"/>
    </row>
    <row r="7" spans="1:3" ht="14.25">
      <c r="A7" s="196" t="s">
        <v>56</v>
      </c>
      <c r="B7" s="346"/>
      <c r="C7" s="222">
        <v>118516.98</v>
      </c>
    </row>
    <row r="8" spans="1:3" ht="14.25">
      <c r="A8" s="344"/>
      <c r="C8" s="345"/>
    </row>
    <row r="9" spans="1:3" ht="14.25">
      <c r="A9" s="191" t="s">
        <v>216</v>
      </c>
      <c r="B9" s="192"/>
      <c r="C9" s="192"/>
    </row>
    <row r="10" spans="1:3" ht="14.25">
      <c r="A10" s="5" t="s">
        <v>36</v>
      </c>
      <c r="B10" s="5">
        <v>2838.33</v>
      </c>
      <c r="C10" s="5"/>
    </row>
    <row r="11" spans="1:3" ht="14.25">
      <c r="A11" s="5" t="s">
        <v>169</v>
      </c>
      <c r="B11" s="5"/>
      <c r="C11" s="5">
        <v>2838.33</v>
      </c>
    </row>
    <row r="12" spans="1:3" ht="14.25">
      <c r="A12" s="193"/>
      <c r="B12" s="5"/>
      <c r="C12" s="5"/>
    </row>
    <row r="13" spans="1:3" ht="14.25">
      <c r="A13" s="191" t="s">
        <v>217</v>
      </c>
      <c r="B13" s="5"/>
      <c r="C13" s="5"/>
    </row>
    <row r="14" spans="1:3" ht="14.25">
      <c r="A14" s="5" t="s">
        <v>169</v>
      </c>
      <c r="B14" s="5">
        <v>2452.15</v>
      </c>
      <c r="C14" s="5"/>
    </row>
    <row r="15" spans="1:3" ht="14.25">
      <c r="A15" s="5" t="s">
        <v>37</v>
      </c>
      <c r="B15" s="5"/>
      <c r="C15" s="5">
        <v>2452.15</v>
      </c>
    </row>
    <row r="16" spans="1:3" ht="14.25">
      <c r="A16" s="193"/>
      <c r="B16" s="5"/>
      <c r="C16" s="5"/>
    </row>
    <row r="17" spans="1:3" ht="14.25">
      <c r="A17" s="194" t="s">
        <v>218</v>
      </c>
      <c r="B17" s="5"/>
      <c r="C17" s="5"/>
    </row>
    <row r="18" spans="1:3" ht="14.25">
      <c r="A18" s="5" t="s">
        <v>5</v>
      </c>
      <c r="B18" s="5">
        <v>32000</v>
      </c>
      <c r="C18" s="5"/>
    </row>
    <row r="19" spans="1:3" ht="14.25">
      <c r="A19" s="5" t="s">
        <v>169</v>
      </c>
      <c r="B19" s="5"/>
      <c r="C19" s="5">
        <v>32000</v>
      </c>
    </row>
    <row r="20" spans="1:3" ht="14.25">
      <c r="A20" s="195"/>
      <c r="B20" s="5"/>
      <c r="C20" s="5"/>
    </row>
    <row r="21" spans="1:3" ht="14.25">
      <c r="A21" s="191" t="s">
        <v>219</v>
      </c>
      <c r="B21" s="5"/>
      <c r="C21" s="5"/>
    </row>
    <row r="22" spans="1:3" ht="14.25">
      <c r="A22" s="5" t="s">
        <v>15</v>
      </c>
      <c r="B22" s="5">
        <v>4509.57</v>
      </c>
      <c r="C22" s="5"/>
    </row>
    <row r="23" spans="1:3" ht="14.25">
      <c r="A23" s="5" t="s">
        <v>169</v>
      </c>
      <c r="B23" s="5"/>
      <c r="C23" s="5">
        <v>4509.57</v>
      </c>
    </row>
    <row r="24" spans="1:3" ht="14.25">
      <c r="A24" s="195"/>
      <c r="B24" s="5"/>
      <c r="C24" s="5"/>
    </row>
    <row r="25" spans="1:3" ht="14.25">
      <c r="A25" s="191" t="s">
        <v>220</v>
      </c>
      <c r="B25" s="5"/>
      <c r="C25" s="5"/>
    </row>
    <row r="26" spans="1:3" ht="14.25">
      <c r="A26" s="5" t="s">
        <v>222</v>
      </c>
      <c r="B26" s="5">
        <v>201321.25</v>
      </c>
      <c r="C26" s="5"/>
    </row>
    <row r="27" spans="1:3" ht="14.25">
      <c r="A27" s="5" t="s">
        <v>223</v>
      </c>
      <c r="B27" s="5">
        <v>265887</v>
      </c>
      <c r="C27" s="5"/>
    </row>
    <row r="28" spans="1:3" ht="14.25">
      <c r="A28" s="5" t="s">
        <v>224</v>
      </c>
      <c r="B28" s="5"/>
      <c r="C28" s="5">
        <v>60396.380000000005</v>
      </c>
    </row>
    <row r="29" spans="1:3" ht="14.25">
      <c r="A29" s="5" t="s">
        <v>225</v>
      </c>
      <c r="B29" s="5"/>
      <c r="C29" s="5">
        <v>265887</v>
      </c>
    </row>
    <row r="30" spans="1:3" ht="14.25">
      <c r="A30" s="5" t="s">
        <v>169</v>
      </c>
      <c r="B30" s="5"/>
      <c r="C30" s="5">
        <v>140924.87</v>
      </c>
    </row>
    <row r="31" spans="1:3" ht="14.25">
      <c r="A31" s="195"/>
      <c r="B31" s="5"/>
      <c r="C31" s="5"/>
    </row>
    <row r="32" spans="1:3" ht="14.25">
      <c r="A32" s="191" t="s">
        <v>221</v>
      </c>
      <c r="B32" s="5"/>
      <c r="C32" s="5"/>
    </row>
    <row r="33" spans="1:3" ht="14.25">
      <c r="A33" s="5" t="s">
        <v>226</v>
      </c>
      <c r="B33" s="5">
        <v>62382.12</v>
      </c>
      <c r="C33" s="5"/>
    </row>
    <row r="34" spans="1:3" ht="14.25">
      <c r="A34" s="5" t="s">
        <v>224</v>
      </c>
      <c r="B34" s="5"/>
      <c r="C34" s="5">
        <v>62382.12</v>
      </c>
    </row>
    <row r="35" spans="1:3" ht="14.25">
      <c r="A35" s="195"/>
      <c r="B35" s="5"/>
      <c r="C35" s="5"/>
    </row>
    <row r="36" spans="1:3" ht="14.25">
      <c r="A36" s="191" t="s">
        <v>232</v>
      </c>
      <c r="B36" s="5"/>
      <c r="C36" s="5"/>
    </row>
    <row r="37" spans="1:3" ht="14.25">
      <c r="A37" s="5" t="s">
        <v>169</v>
      </c>
      <c r="B37" s="5">
        <f>SUM(C37:C41)</f>
        <v>159824.54</v>
      </c>
      <c r="C37" s="5"/>
    </row>
    <row r="38" spans="1:3" ht="14.25">
      <c r="A38" s="5" t="s">
        <v>231</v>
      </c>
      <c r="B38" s="5"/>
      <c r="C38" s="5">
        <v>7735.03</v>
      </c>
    </row>
    <row r="39" spans="1:3" ht="14.25">
      <c r="A39" s="5" t="s">
        <v>229</v>
      </c>
      <c r="B39" s="5"/>
      <c r="C39" s="5"/>
    </row>
    <row r="40" spans="1:3" ht="14.25">
      <c r="A40" s="5" t="s">
        <v>227</v>
      </c>
      <c r="B40" s="5"/>
      <c r="C40" s="5">
        <v>476.5</v>
      </c>
    </row>
    <row r="41" spans="1:3" ht="14.25">
      <c r="A41" s="5" t="s">
        <v>230</v>
      </c>
      <c r="B41" s="5"/>
      <c r="C41" s="5">
        <v>151613.01</v>
      </c>
    </row>
    <row r="42" spans="1:3" ht="14.25">
      <c r="A42" s="195"/>
      <c r="B42" s="5"/>
      <c r="C42" s="5"/>
    </row>
    <row r="43" spans="1:3" ht="14.25">
      <c r="A43" s="191" t="s">
        <v>233</v>
      </c>
      <c r="B43" s="5"/>
      <c r="C43" s="5"/>
    </row>
    <row r="44" spans="1:3" ht="14.25">
      <c r="A44" s="5" t="s">
        <v>169</v>
      </c>
      <c r="B44" s="5">
        <v>4058.61</v>
      </c>
      <c r="C44" s="5"/>
    </row>
    <row r="45" spans="1:3" ht="14.25">
      <c r="A45" s="5" t="s">
        <v>18</v>
      </c>
      <c r="B45" s="5">
        <v>2254.79</v>
      </c>
      <c r="C45" s="5"/>
    </row>
    <row r="46" spans="1:3" ht="14.25">
      <c r="A46" s="5" t="s">
        <v>14</v>
      </c>
      <c r="B46" s="5"/>
      <c r="C46" s="5">
        <v>6313.4</v>
      </c>
    </row>
    <row r="48" spans="2:3" ht="14.25">
      <c r="B48" s="6">
        <f>SUM(B5:B46)</f>
        <v>867278.3600000001</v>
      </c>
      <c r="C48" s="6">
        <f>SUM(C5:C46)</f>
        <v>867278.3600000001</v>
      </c>
    </row>
  </sheetData>
  <sheetProtection/>
  <mergeCells count="3">
    <mergeCell ref="D4:F6"/>
    <mergeCell ref="A1:C1"/>
    <mergeCell ref="A2:C2"/>
  </mergeCells>
  <printOptions/>
  <pageMargins left="0.35" right="0.39" top="0.7480314960629921" bottom="0.7480314960629921" header="0.31496062992125984" footer="0.31496062992125984"/>
  <pageSetup fitToHeight="1" fitToWidth="1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4.7109375" style="166" customWidth="1"/>
    <col min="2" max="2" width="12.7109375" style="20" customWidth="1"/>
    <col min="3" max="3" width="4.7109375" style="166" customWidth="1"/>
    <col min="4" max="4" width="12.7109375" style="20" customWidth="1"/>
    <col min="5" max="5" width="2.57421875" style="20" customWidth="1"/>
    <col min="6" max="6" width="4.7109375" style="166" customWidth="1"/>
    <col min="7" max="7" width="12.7109375" style="20" customWidth="1"/>
    <col min="8" max="8" width="4.7109375" style="166" customWidth="1"/>
    <col min="9" max="9" width="12.7109375" style="20" customWidth="1"/>
    <col min="10" max="10" width="2.57421875" style="20" customWidth="1"/>
    <col min="11" max="11" width="4.7109375" style="166" customWidth="1"/>
    <col min="12" max="12" width="12.7109375" style="20" customWidth="1"/>
    <col min="13" max="13" width="4.7109375" style="166" customWidth="1"/>
    <col min="14" max="14" width="12.7109375" style="20" customWidth="1"/>
    <col min="15" max="16384" width="11.421875" style="20" customWidth="1"/>
  </cols>
  <sheetData>
    <row r="1" spans="1:14" ht="18" thickBot="1">
      <c r="A1" s="488" t="s">
        <v>236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90"/>
    </row>
    <row r="2" spans="1:14" s="24" customFormat="1" ht="10.5" customHeight="1">
      <c r="A2" s="484" t="s">
        <v>2</v>
      </c>
      <c r="B2" s="485"/>
      <c r="C2" s="485"/>
      <c r="D2" s="486"/>
      <c r="E2" s="199"/>
      <c r="F2" s="487" t="s">
        <v>3</v>
      </c>
      <c r="G2" s="487"/>
      <c r="H2" s="487"/>
      <c r="I2" s="487"/>
      <c r="J2" s="199"/>
      <c r="K2" s="487" t="s">
        <v>4</v>
      </c>
      <c r="L2" s="487"/>
      <c r="M2" s="487"/>
      <c r="N2" s="487"/>
    </row>
    <row r="3" spans="1:14" ht="10.5" customHeight="1">
      <c r="A3" s="163" t="s">
        <v>60</v>
      </c>
      <c r="B3" s="21" t="s">
        <v>61</v>
      </c>
      <c r="C3" s="163" t="s">
        <v>60</v>
      </c>
      <c r="D3" s="21" t="s">
        <v>61</v>
      </c>
      <c r="E3" s="22"/>
      <c r="F3" s="163" t="s">
        <v>60</v>
      </c>
      <c r="G3" s="21" t="s">
        <v>61</v>
      </c>
      <c r="H3" s="163" t="s">
        <v>60</v>
      </c>
      <c r="I3" s="21" t="s">
        <v>61</v>
      </c>
      <c r="J3" s="22"/>
      <c r="K3" s="163" t="s">
        <v>60</v>
      </c>
      <c r="L3" s="21" t="s">
        <v>61</v>
      </c>
      <c r="M3" s="163" t="s">
        <v>60</v>
      </c>
      <c r="N3" s="21" t="s">
        <v>61</v>
      </c>
    </row>
    <row r="4" spans="1:14" ht="10.5" customHeight="1">
      <c r="A4" s="164" t="s">
        <v>62</v>
      </c>
      <c r="B4" s="4">
        <v>1000</v>
      </c>
      <c r="C4" s="164"/>
      <c r="D4" s="4"/>
      <c r="E4" s="23"/>
      <c r="F4" s="164" t="s">
        <v>62</v>
      </c>
      <c r="G4" s="4">
        <v>3500</v>
      </c>
      <c r="H4" s="164"/>
      <c r="I4" s="4"/>
      <c r="J4" s="23"/>
      <c r="K4" s="164" t="s">
        <v>62</v>
      </c>
      <c r="L4" s="4">
        <v>22000</v>
      </c>
      <c r="M4" s="164"/>
      <c r="N4" s="4"/>
    </row>
    <row r="5" spans="1:14" ht="10.5" customHeight="1">
      <c r="A5" s="164">
        <v>1</v>
      </c>
      <c r="B5" s="4">
        <v>10000</v>
      </c>
      <c r="C5" s="164"/>
      <c r="D5" s="4"/>
      <c r="E5" s="23"/>
      <c r="F5" s="164"/>
      <c r="G5" s="4"/>
      <c r="H5" s="164">
        <v>3</v>
      </c>
      <c r="I5" s="4">
        <v>3000</v>
      </c>
      <c r="J5" s="23"/>
      <c r="K5" s="164">
        <v>1</v>
      </c>
      <c r="L5" s="4">
        <v>5000</v>
      </c>
      <c r="M5" s="164"/>
      <c r="N5" s="4"/>
    </row>
    <row r="6" spans="1:14" ht="10.5" customHeight="1">
      <c r="A6" s="164"/>
      <c r="B6" s="4"/>
      <c r="C6" s="164">
        <v>3</v>
      </c>
      <c r="D6" s="4">
        <v>5000</v>
      </c>
      <c r="E6" s="23"/>
      <c r="F6" s="164"/>
      <c r="G6" s="4"/>
      <c r="H6" s="164"/>
      <c r="I6" s="4"/>
      <c r="J6" s="23"/>
      <c r="K6" s="164"/>
      <c r="L6" s="4"/>
      <c r="M6" s="164"/>
      <c r="N6" s="4"/>
    </row>
    <row r="7" spans="1:14" ht="10.5" customHeight="1">
      <c r="A7" s="164"/>
      <c r="B7" s="4"/>
      <c r="C7" s="164"/>
      <c r="D7" s="4"/>
      <c r="E7" s="23"/>
      <c r="F7" s="164"/>
      <c r="G7" s="4"/>
      <c r="H7" s="164"/>
      <c r="I7" s="4"/>
      <c r="J7" s="23"/>
      <c r="K7" s="164"/>
      <c r="L7" s="4"/>
      <c r="M7" s="164"/>
      <c r="N7" s="4"/>
    </row>
    <row r="8" spans="1:14" ht="10.5" customHeight="1">
      <c r="A8" s="164"/>
      <c r="B8" s="4"/>
      <c r="C8" s="164"/>
      <c r="D8" s="4"/>
      <c r="E8" s="23"/>
      <c r="F8" s="164"/>
      <c r="G8" s="4"/>
      <c r="H8" s="164"/>
      <c r="I8" s="4"/>
      <c r="J8" s="23"/>
      <c r="K8" s="164"/>
      <c r="L8" s="4"/>
      <c r="M8" s="164"/>
      <c r="N8" s="4"/>
    </row>
    <row r="9" spans="1:14" ht="10.5" customHeight="1">
      <c r="A9" s="200"/>
      <c r="B9" s="201">
        <f>IF((B4+B5+B6+B7+B8-D4-D5-D6-D7-D8)&gt;0,(B4+B5+B6+B7+B8-D4-D5-D6-D7-D8),0)</f>
        <v>6000</v>
      </c>
      <c r="C9" s="202"/>
      <c r="D9" s="201">
        <f>IF((B4+B5+B6+B7+B8-D4-D5-D6-D7-D8)&lt;0,-(B4+B5+B6+B7+B8-D4-D5-D6-D7-D8),0)</f>
        <v>0</v>
      </c>
      <c r="E9" s="23"/>
      <c r="F9" s="200"/>
      <c r="G9" s="201">
        <f>IF((G4+G5+G6+G7+G8-I4-I5-I6-I7-I8)&gt;0,(G4+G5+G6+G7+G8-I4-I5-I6-I7-I8),0)</f>
        <v>500</v>
      </c>
      <c r="H9" s="202"/>
      <c r="I9" s="201">
        <f>IF((G4+G5+G6+G7+G8-I4-I5-I6-I7-I8)&lt;0,-(G4+G5+G6+G7+G8-I4-I5-I6-I7-I8),0)</f>
        <v>0</v>
      </c>
      <c r="J9" s="23"/>
      <c r="K9" s="200"/>
      <c r="L9" s="201">
        <f>IF((L4+L5+L6+L7+L8-N4-N5-N6-N7-N8)&gt;0,(L4+L5+L6+L7+L8-N4-N5-N6-N7-N8),0)</f>
        <v>27000</v>
      </c>
      <c r="M9" s="202"/>
      <c r="N9" s="201">
        <f>IF((L4+L5+L6+L7+L8-N4-N5-N6-N7-N8)&lt;0,-(L4+L5+L6+L7+L8-N4-N5-N6-N7-N8),0)</f>
        <v>0</v>
      </c>
    </row>
    <row r="10" spans="1:14" ht="10.5" customHeight="1">
      <c r="A10" s="165"/>
      <c r="B10" s="23"/>
      <c r="C10" s="165"/>
      <c r="D10" s="23"/>
      <c r="E10" s="23"/>
      <c r="F10" s="165"/>
      <c r="G10" s="23"/>
      <c r="H10" s="165"/>
      <c r="I10" s="23"/>
      <c r="J10" s="23"/>
      <c r="K10" s="165"/>
      <c r="L10" s="23"/>
      <c r="M10" s="165"/>
      <c r="N10" s="23"/>
    </row>
    <row r="11" spans="1:14" s="24" customFormat="1" ht="10.5" customHeight="1">
      <c r="A11" s="483" t="s">
        <v>36</v>
      </c>
      <c r="B11" s="483"/>
      <c r="C11" s="483"/>
      <c r="D11" s="483"/>
      <c r="E11" s="167"/>
      <c r="F11" s="483" t="s">
        <v>5</v>
      </c>
      <c r="G11" s="483"/>
      <c r="H11" s="483"/>
      <c r="I11" s="483"/>
      <c r="J11" s="167"/>
      <c r="K11" s="483" t="s">
        <v>8</v>
      </c>
      <c r="L11" s="483"/>
      <c r="M11" s="483"/>
      <c r="N11" s="483"/>
    </row>
    <row r="12" spans="1:14" ht="10.5" customHeight="1">
      <c r="A12" s="163" t="s">
        <v>60</v>
      </c>
      <c r="B12" s="21" t="s">
        <v>61</v>
      </c>
      <c r="C12" s="163" t="s">
        <v>60</v>
      </c>
      <c r="D12" s="21" t="s">
        <v>61</v>
      </c>
      <c r="E12" s="22"/>
      <c r="F12" s="163" t="s">
        <v>60</v>
      </c>
      <c r="G12" s="21" t="s">
        <v>61</v>
      </c>
      <c r="H12" s="163" t="s">
        <v>60</v>
      </c>
      <c r="I12" s="21" t="s">
        <v>61</v>
      </c>
      <c r="J12" s="22"/>
      <c r="K12" s="163" t="s">
        <v>60</v>
      </c>
      <c r="L12" s="21" t="s">
        <v>61</v>
      </c>
      <c r="M12" s="163" t="s">
        <v>60</v>
      </c>
      <c r="N12" s="21" t="s">
        <v>61</v>
      </c>
    </row>
    <row r="13" spans="1:14" ht="10.5" customHeight="1">
      <c r="A13" s="164"/>
      <c r="B13" s="4"/>
      <c r="C13" s="164" t="s">
        <v>62</v>
      </c>
      <c r="D13" s="4">
        <v>2000</v>
      </c>
      <c r="E13" s="23"/>
      <c r="F13" s="164" t="s">
        <v>62</v>
      </c>
      <c r="G13" s="4">
        <v>65000</v>
      </c>
      <c r="H13" s="164"/>
      <c r="I13" s="4"/>
      <c r="J13" s="23"/>
      <c r="K13" s="164" t="s">
        <v>62</v>
      </c>
      <c r="L13" s="4">
        <v>422500</v>
      </c>
      <c r="M13" s="164"/>
      <c r="N13" s="4"/>
    </row>
    <row r="14" spans="1:14" ht="10.5" customHeight="1">
      <c r="A14" s="164"/>
      <c r="B14" s="4"/>
      <c r="C14" s="164">
        <v>1</v>
      </c>
      <c r="D14" s="4">
        <v>1000</v>
      </c>
      <c r="E14" s="23"/>
      <c r="F14" s="164"/>
      <c r="G14" s="4"/>
      <c r="H14" s="164">
        <v>1</v>
      </c>
      <c r="I14" s="4">
        <v>10000</v>
      </c>
      <c r="J14" s="23"/>
      <c r="K14" s="203" t="s">
        <v>237</v>
      </c>
      <c r="L14" s="5">
        <v>201321.25</v>
      </c>
      <c r="M14" s="164"/>
      <c r="N14" s="4"/>
    </row>
    <row r="15" spans="1:14" ht="10.5" customHeight="1">
      <c r="A15" s="203" t="s">
        <v>237</v>
      </c>
      <c r="B15" s="4">
        <v>2838.33</v>
      </c>
      <c r="C15" s="164"/>
      <c r="D15" s="4"/>
      <c r="E15" s="23"/>
      <c r="F15" s="164">
        <v>3</v>
      </c>
      <c r="G15" s="4">
        <v>3000</v>
      </c>
      <c r="H15" s="164"/>
      <c r="I15" s="4"/>
      <c r="J15" s="23"/>
      <c r="K15" s="164"/>
      <c r="L15" s="4"/>
      <c r="M15" s="164"/>
      <c r="N15" s="4"/>
    </row>
    <row r="16" spans="1:14" ht="10.5" customHeight="1">
      <c r="A16" s="164"/>
      <c r="B16" s="4"/>
      <c r="C16" s="164"/>
      <c r="D16" s="4"/>
      <c r="E16" s="23"/>
      <c r="F16" s="203" t="s">
        <v>237</v>
      </c>
      <c r="G16" s="5">
        <v>32000</v>
      </c>
      <c r="H16" s="164"/>
      <c r="I16" s="4"/>
      <c r="J16" s="23"/>
      <c r="K16" s="164"/>
      <c r="L16" s="4"/>
      <c r="M16" s="164"/>
      <c r="N16" s="4"/>
    </row>
    <row r="17" spans="1:14" ht="10.5" customHeight="1">
      <c r="A17" s="164"/>
      <c r="B17" s="4"/>
      <c r="C17" s="164"/>
      <c r="D17" s="4"/>
      <c r="E17" s="23"/>
      <c r="F17" s="164"/>
      <c r="G17" s="4"/>
      <c r="H17" s="164"/>
      <c r="I17" s="4"/>
      <c r="J17" s="23"/>
      <c r="K17" s="164"/>
      <c r="L17" s="4"/>
      <c r="M17" s="164"/>
      <c r="N17" s="4"/>
    </row>
    <row r="18" spans="1:14" ht="10.5" customHeight="1">
      <c r="A18" s="200"/>
      <c r="B18" s="201">
        <f>IF((B13+B14+B15+B16+B17-D13-D14-D15-D16-D17)&gt;0,(B13+B14+B15+B16+B17-D13-D14-D15-D16-D17),0)</f>
        <v>0</v>
      </c>
      <c r="C18" s="202"/>
      <c r="D18" s="201">
        <f>IF((B13+B14+B15+B16+B17-D13-D14-D15-D16-D17)&lt;0,-(B13+B14+B15+B16+B17-D13-D14-D15-D16-D17),0)</f>
        <v>161.67000000000007</v>
      </c>
      <c r="E18" s="23"/>
      <c r="F18" s="200"/>
      <c r="G18" s="201">
        <f>IF((G13+G14+G15+G16+G17-I13-I14-I15-I16-I17)&gt;0,(G13+G14+G15+G16+G17-I13-I14-I15-I16-I17),0)</f>
        <v>90000</v>
      </c>
      <c r="H18" s="202"/>
      <c r="I18" s="201">
        <f>IF((G13+G14+G15+G16+G17-I13-I14-I15-I16-I17)&lt;0,-(G13+G14+G15+G16+G17-I13-I14-I15-I16-I17),0)</f>
        <v>0</v>
      </c>
      <c r="J18" s="23"/>
      <c r="K18" s="200"/>
      <c r="L18" s="201">
        <f>IF((L13+L14+L15+L16+L17-N13-N14-N15-N16-N17)&gt;0,(L13+L14+L15+L16+L17-N13-N14-N15-N16-N17),0)</f>
        <v>623821.25</v>
      </c>
      <c r="M18" s="202"/>
      <c r="N18" s="201">
        <f>IF((L13+L14+L15+L16+L17-N13-N14-N15-N16-N17)&lt;0,-(L13+L14+L15+L16+L17-N13-N14-N15-N16-N17),0)</f>
        <v>0</v>
      </c>
    </row>
    <row r="19" spans="1:14" ht="10.5" customHeight="1">
      <c r="A19" s="165"/>
      <c r="B19" s="23"/>
      <c r="C19" s="165"/>
      <c r="D19" s="23"/>
      <c r="E19" s="23"/>
      <c r="F19" s="165"/>
      <c r="G19" s="23"/>
      <c r="H19" s="165"/>
      <c r="I19" s="23"/>
      <c r="J19" s="23"/>
      <c r="K19" s="165"/>
      <c r="L19" s="23"/>
      <c r="M19" s="165"/>
      <c r="N19" s="23"/>
    </row>
    <row r="20" spans="1:14" s="24" customFormat="1" ht="10.5" customHeight="1">
      <c r="A20" s="483" t="s">
        <v>9</v>
      </c>
      <c r="B20" s="483"/>
      <c r="C20" s="483"/>
      <c r="D20" s="483"/>
      <c r="E20" s="167"/>
      <c r="F20" s="483" t="s">
        <v>6</v>
      </c>
      <c r="G20" s="483"/>
      <c r="H20" s="483"/>
      <c r="I20" s="483"/>
      <c r="J20" s="167"/>
      <c r="K20" s="483" t="s">
        <v>7</v>
      </c>
      <c r="L20" s="483"/>
      <c r="M20" s="483"/>
      <c r="N20" s="483"/>
    </row>
    <row r="21" spans="1:14" ht="10.5" customHeight="1">
      <c r="A21" s="163" t="s">
        <v>60</v>
      </c>
      <c r="B21" s="21" t="s">
        <v>61</v>
      </c>
      <c r="C21" s="163" t="s">
        <v>60</v>
      </c>
      <c r="D21" s="21" t="s">
        <v>61</v>
      </c>
      <c r="E21" s="22"/>
      <c r="F21" s="163" t="s">
        <v>60</v>
      </c>
      <c r="G21" s="21" t="s">
        <v>61</v>
      </c>
      <c r="H21" s="163" t="s">
        <v>60</v>
      </c>
      <c r="I21" s="21" t="s">
        <v>61</v>
      </c>
      <c r="J21" s="22"/>
      <c r="K21" s="163" t="s">
        <v>60</v>
      </c>
      <c r="L21" s="21" t="s">
        <v>61</v>
      </c>
      <c r="M21" s="163" t="s">
        <v>60</v>
      </c>
      <c r="N21" s="21" t="s">
        <v>61</v>
      </c>
    </row>
    <row r="22" spans="1:14" ht="10.5" customHeight="1">
      <c r="A22" s="164"/>
      <c r="B22" s="4"/>
      <c r="C22" s="164" t="s">
        <v>62</v>
      </c>
      <c r="D22" s="4">
        <v>126750</v>
      </c>
      <c r="E22" s="22"/>
      <c r="F22" s="164" t="s">
        <v>62</v>
      </c>
      <c r="G22" s="4">
        <v>558000</v>
      </c>
      <c r="H22" s="164"/>
      <c r="I22" s="4"/>
      <c r="J22" s="22"/>
      <c r="K22" s="164"/>
      <c r="L22" s="4"/>
      <c r="M22" s="164" t="s">
        <v>62</v>
      </c>
      <c r="N22" s="4">
        <v>558000</v>
      </c>
    </row>
    <row r="23" spans="1:14" ht="10.5" customHeight="1">
      <c r="A23" s="164"/>
      <c r="B23" s="4"/>
      <c r="C23" s="203" t="s">
        <v>237</v>
      </c>
      <c r="D23" s="5">
        <v>60396.38</v>
      </c>
      <c r="E23" s="22"/>
      <c r="F23" s="203" t="s">
        <v>237</v>
      </c>
      <c r="G23" s="5">
        <v>265887</v>
      </c>
      <c r="H23" s="164"/>
      <c r="I23" s="4"/>
      <c r="J23" s="22"/>
      <c r="K23" s="164"/>
      <c r="L23" s="4"/>
      <c r="M23" s="203" t="s">
        <v>237</v>
      </c>
      <c r="N23" s="5">
        <v>265887</v>
      </c>
    </row>
    <row r="24" spans="1:14" ht="10.5" customHeight="1">
      <c r="A24" s="164"/>
      <c r="B24" s="4"/>
      <c r="C24" s="203" t="s">
        <v>237</v>
      </c>
      <c r="D24" s="5">
        <v>62382.12</v>
      </c>
      <c r="E24" s="22"/>
      <c r="F24" s="164"/>
      <c r="G24" s="4"/>
      <c r="H24" s="164"/>
      <c r="I24" s="4"/>
      <c r="J24" s="22"/>
      <c r="K24" s="164"/>
      <c r="L24" s="4"/>
      <c r="M24" s="164"/>
      <c r="N24" s="4"/>
    </row>
    <row r="25" spans="1:14" ht="10.5" customHeight="1">
      <c r="A25" s="164"/>
      <c r="B25" s="4"/>
      <c r="C25" s="164"/>
      <c r="D25" s="4"/>
      <c r="E25" s="22"/>
      <c r="F25" s="164"/>
      <c r="G25" s="4"/>
      <c r="H25" s="164"/>
      <c r="I25" s="4"/>
      <c r="J25" s="22"/>
      <c r="K25" s="164"/>
      <c r="L25" s="4"/>
      <c r="M25" s="164"/>
      <c r="N25" s="4"/>
    </row>
    <row r="26" spans="1:14" ht="10.5" customHeight="1">
      <c r="A26" s="164"/>
      <c r="B26" s="4"/>
      <c r="C26" s="164"/>
      <c r="D26" s="4"/>
      <c r="E26" s="22"/>
      <c r="F26" s="164"/>
      <c r="G26" s="4"/>
      <c r="H26" s="164"/>
      <c r="I26" s="4"/>
      <c r="J26" s="22"/>
      <c r="K26" s="164"/>
      <c r="L26" s="4"/>
      <c r="M26" s="164"/>
      <c r="N26" s="4"/>
    </row>
    <row r="27" spans="1:14" ht="10.5" customHeight="1">
      <c r="A27" s="200"/>
      <c r="B27" s="201">
        <f>IF((B22+B23+B24+B25+B26-D22-D23-D24-D25-D26)&gt;0,(B22+B23+B24+B25+B26-D22-D23-D24-D25-D26),0)</f>
        <v>0</v>
      </c>
      <c r="C27" s="202"/>
      <c r="D27" s="201">
        <f>IF((B22+B23+B24+B25+B26-D22-D23-D24-D25-D26)&lt;0,-(B22+B23+B24+B25+B26-D22-D23-D24-D25-D26),0)</f>
        <v>249528.5</v>
      </c>
      <c r="E27" s="22"/>
      <c r="F27" s="200"/>
      <c r="G27" s="201">
        <f>IF((G22+G23+G24+G25+G26-I22-I23-I24-I25-I26)&gt;0,(G22+G23+G24+G25+G26-I22-I23-I24-I25-I26),0)</f>
        <v>823887</v>
      </c>
      <c r="H27" s="202"/>
      <c r="I27" s="201">
        <f>IF((G22+G23+G24+G25+G26-I22-I23-I24-I25-I26)&lt;0,-(G22+G23+G24+G25+G26-I22-I23-I24-I25-I26),0)</f>
        <v>0</v>
      </c>
      <c r="J27" s="22"/>
      <c r="K27" s="200"/>
      <c r="L27" s="201">
        <f>IF((L22+L23+L24+L25+L26-N22-N23-N24-N25-N26)&gt;0,(L22+L23+L24+L25+L26-N22-N23-N24-N25-N26),0)</f>
        <v>0</v>
      </c>
      <c r="M27" s="202"/>
      <c r="N27" s="201">
        <f>IF((L22+L23+L24+L25+L26-N22-N23-N24-N25-N26)&lt;0,-(L22+L23+L24+L25+L26-N22-N23-N24-N25-N26),0)</f>
        <v>823887</v>
      </c>
    </row>
    <row r="28" spans="1:14" ht="10.5" customHeight="1">
      <c r="A28" s="165"/>
      <c r="B28" s="23"/>
      <c r="C28" s="165"/>
      <c r="D28" s="23"/>
      <c r="E28" s="22"/>
      <c r="F28" s="165"/>
      <c r="G28" s="23"/>
      <c r="H28" s="165"/>
      <c r="I28" s="23"/>
      <c r="J28" s="22"/>
      <c r="K28" s="165"/>
      <c r="L28" s="23"/>
      <c r="M28" s="165"/>
      <c r="N28" s="23"/>
    </row>
    <row r="29" spans="1:14" s="24" customFormat="1" ht="10.5" customHeight="1">
      <c r="A29" s="483" t="s">
        <v>10</v>
      </c>
      <c r="B29" s="483"/>
      <c r="C29" s="483"/>
      <c r="D29" s="483"/>
      <c r="E29" s="167"/>
      <c r="F29" s="483" t="s">
        <v>170</v>
      </c>
      <c r="G29" s="483"/>
      <c r="H29" s="483"/>
      <c r="I29" s="483"/>
      <c r="J29" s="167"/>
      <c r="K29" s="483" t="s">
        <v>39</v>
      </c>
      <c r="L29" s="483"/>
      <c r="M29" s="483"/>
      <c r="N29" s="483"/>
    </row>
    <row r="30" spans="1:14" ht="10.5" customHeight="1">
      <c r="A30" s="163" t="s">
        <v>60</v>
      </c>
      <c r="B30" s="21" t="s">
        <v>61</v>
      </c>
      <c r="C30" s="163" t="s">
        <v>60</v>
      </c>
      <c r="D30" s="21" t="s">
        <v>61</v>
      </c>
      <c r="E30" s="22"/>
      <c r="F30" s="163" t="s">
        <v>60</v>
      </c>
      <c r="G30" s="21" t="s">
        <v>61</v>
      </c>
      <c r="H30" s="163" t="s">
        <v>60</v>
      </c>
      <c r="I30" s="21" t="s">
        <v>61</v>
      </c>
      <c r="J30" s="22"/>
      <c r="K30" s="163" t="s">
        <v>60</v>
      </c>
      <c r="L30" s="21" t="s">
        <v>61</v>
      </c>
      <c r="M30" s="163" t="s">
        <v>60</v>
      </c>
      <c r="N30" s="21" t="s">
        <v>61</v>
      </c>
    </row>
    <row r="31" spans="1:14" ht="10.5" customHeight="1">
      <c r="A31" s="164"/>
      <c r="B31" s="4"/>
      <c r="C31" s="164" t="s">
        <v>62</v>
      </c>
      <c r="D31" s="4">
        <v>38000</v>
      </c>
      <c r="E31" s="22"/>
      <c r="F31" s="164" t="s">
        <v>62</v>
      </c>
      <c r="G31" s="4">
        <v>3000</v>
      </c>
      <c r="H31" s="164"/>
      <c r="I31" s="4"/>
      <c r="J31" s="22"/>
      <c r="K31" s="164"/>
      <c r="L31" s="4"/>
      <c r="M31" s="164" t="s">
        <v>62</v>
      </c>
      <c r="N31" s="4">
        <v>0</v>
      </c>
    </row>
    <row r="32" spans="1:14" ht="10.5" customHeight="1">
      <c r="A32" s="164"/>
      <c r="B32" s="4"/>
      <c r="C32" s="164"/>
      <c r="D32" s="4"/>
      <c r="E32" s="22"/>
      <c r="F32" s="164"/>
      <c r="G32" s="4"/>
      <c r="H32" s="203" t="s">
        <v>237</v>
      </c>
      <c r="I32" s="5">
        <v>2452.15</v>
      </c>
      <c r="J32" s="22"/>
      <c r="K32" s="164"/>
      <c r="L32" s="4"/>
      <c r="M32" s="164">
        <v>4</v>
      </c>
      <c r="N32" s="4">
        <v>20350</v>
      </c>
    </row>
    <row r="33" spans="1:14" ht="10.5" customHeight="1">
      <c r="A33" s="164"/>
      <c r="B33" s="4"/>
      <c r="C33" s="164"/>
      <c r="D33" s="4"/>
      <c r="E33" s="22"/>
      <c r="F33" s="164"/>
      <c r="G33" s="4"/>
      <c r="H33" s="164"/>
      <c r="I33" s="4"/>
      <c r="J33" s="22"/>
      <c r="K33" s="164"/>
      <c r="L33" s="4"/>
      <c r="M33" s="164"/>
      <c r="N33" s="4"/>
    </row>
    <row r="34" spans="1:14" ht="10.5" customHeight="1">
      <c r="A34" s="164"/>
      <c r="B34" s="4"/>
      <c r="C34" s="164"/>
      <c r="D34" s="4"/>
      <c r="E34" s="22"/>
      <c r="F34" s="164"/>
      <c r="G34" s="4"/>
      <c r="H34" s="164"/>
      <c r="I34" s="4"/>
      <c r="J34" s="22"/>
      <c r="K34" s="164"/>
      <c r="L34" s="4"/>
      <c r="M34" s="164"/>
      <c r="N34" s="4"/>
    </row>
    <row r="35" spans="1:14" ht="10.5" customHeight="1">
      <c r="A35" s="164"/>
      <c r="B35" s="4"/>
      <c r="C35" s="164"/>
      <c r="D35" s="4"/>
      <c r="E35" s="22"/>
      <c r="F35" s="164"/>
      <c r="G35" s="4"/>
      <c r="H35" s="164"/>
      <c r="I35" s="4"/>
      <c r="J35" s="22"/>
      <c r="K35" s="164"/>
      <c r="L35" s="4"/>
      <c r="M35" s="164"/>
      <c r="N35" s="4"/>
    </row>
    <row r="36" spans="1:14" ht="10.5" customHeight="1">
      <c r="A36" s="200"/>
      <c r="B36" s="201">
        <f>IF((B31+B32+B33+B34+B35-D31-D32-D33-D34-D35)&gt;0,(B31+B32+B33+B34+B35-D31-D32-D33-D34-D35),0)</f>
        <v>0</v>
      </c>
      <c r="C36" s="202"/>
      <c r="D36" s="201">
        <f>IF((B31+B32+B33+B34+B35-D31-D32-D33-D34-D35)&lt;0,-(B31+B32+B33+B34+B35-D31-D32-D33-D34-D35),0)</f>
        <v>38000</v>
      </c>
      <c r="E36" s="22"/>
      <c r="F36" s="200"/>
      <c r="G36" s="201">
        <f>IF((G31+G32+G33+G34+G35-I31-I32-I33-I34-I35)&gt;0,(G31+G32+G33+G34+G35-I31-I32-I33-I34-I35),0)</f>
        <v>547.8499999999999</v>
      </c>
      <c r="H36" s="202"/>
      <c r="I36" s="201">
        <f>IF((G31+G32+G33+G34+G35-I31-I32-I33-I34-I35)&lt;0,-(G31+G32+G33+G34+G35-I31-I32-I33-I34-I35),0)</f>
        <v>0</v>
      </c>
      <c r="J36" s="22"/>
      <c r="K36" s="200"/>
      <c r="L36" s="201">
        <f>IF((L31+L32+L33+L34+L35-N31-N32-N33-N34-N35)&gt;0,(L31+L32+L33+L34+L35-N31-N32-N33-N34-N35),0)</f>
        <v>0</v>
      </c>
      <c r="M36" s="202"/>
      <c r="N36" s="201">
        <f>IF((L31+L32+L33+L34+L35-N31-N32-N33-N34-N35)&lt;0,-(L31+L32+L33+L34+L35-N31-N32-N33-N34-N35),0)</f>
        <v>20350</v>
      </c>
    </row>
    <row r="37" spans="1:14" ht="10.5" customHeight="1">
      <c r="A37" s="165"/>
      <c r="B37" s="23"/>
      <c r="C37" s="165"/>
      <c r="D37" s="23"/>
      <c r="E37" s="22"/>
      <c r="F37" s="165"/>
      <c r="G37" s="23"/>
      <c r="H37" s="165"/>
      <c r="I37" s="23"/>
      <c r="J37" s="22"/>
      <c r="K37" s="165"/>
      <c r="L37" s="23"/>
      <c r="M37" s="165"/>
      <c r="N37" s="23"/>
    </row>
    <row r="38" spans="1:14" s="24" customFormat="1" ht="10.5" customHeight="1">
      <c r="A38" s="483" t="s">
        <v>11</v>
      </c>
      <c r="B38" s="483"/>
      <c r="C38" s="483"/>
      <c r="D38" s="483"/>
      <c r="E38" s="167"/>
      <c r="F38" s="483" t="s">
        <v>12</v>
      </c>
      <c r="G38" s="483"/>
      <c r="H38" s="483"/>
      <c r="I38" s="483"/>
      <c r="J38" s="167"/>
      <c r="K38" s="483" t="s">
        <v>22</v>
      </c>
      <c r="L38" s="483"/>
      <c r="M38" s="483"/>
      <c r="N38" s="483"/>
    </row>
    <row r="39" spans="1:14" ht="10.5" customHeight="1">
      <c r="A39" s="163" t="s">
        <v>60</v>
      </c>
      <c r="B39" s="21" t="s">
        <v>61</v>
      </c>
      <c r="C39" s="163" t="s">
        <v>60</v>
      </c>
      <c r="D39" s="21" t="s">
        <v>61</v>
      </c>
      <c r="E39" s="22"/>
      <c r="F39" s="163" t="s">
        <v>60</v>
      </c>
      <c r="G39" s="21" t="s">
        <v>61</v>
      </c>
      <c r="H39" s="163" t="s">
        <v>60</v>
      </c>
      <c r="I39" s="21" t="s">
        <v>61</v>
      </c>
      <c r="J39" s="22"/>
      <c r="K39" s="163" t="s">
        <v>60</v>
      </c>
      <c r="L39" s="21" t="s">
        <v>61</v>
      </c>
      <c r="M39" s="163" t="s">
        <v>60</v>
      </c>
      <c r="N39" s="21" t="s">
        <v>61</v>
      </c>
    </row>
    <row r="40" spans="1:14" ht="10.5" customHeight="1">
      <c r="A40" s="164"/>
      <c r="B40" s="4"/>
      <c r="C40" s="164" t="s">
        <v>62</v>
      </c>
      <c r="D40" s="190">
        <v>5000</v>
      </c>
      <c r="E40" s="22"/>
      <c r="F40" s="164"/>
      <c r="G40" s="4"/>
      <c r="H40" s="164" t="s">
        <v>62</v>
      </c>
      <c r="I40" s="190">
        <v>1000</v>
      </c>
      <c r="J40" s="22"/>
      <c r="K40" s="164"/>
      <c r="L40" s="4"/>
      <c r="M40" s="164" t="s">
        <v>62</v>
      </c>
      <c r="N40" s="4">
        <v>129750</v>
      </c>
    </row>
    <row r="41" spans="1:14" ht="10.5" customHeight="1">
      <c r="A41" s="164"/>
      <c r="B41" s="4"/>
      <c r="C41" s="164"/>
      <c r="D41" s="4"/>
      <c r="E41" s="22"/>
      <c r="F41" s="164"/>
      <c r="G41" s="4"/>
      <c r="H41" s="203" t="s">
        <v>237</v>
      </c>
      <c r="I41" s="5">
        <v>476.5</v>
      </c>
      <c r="J41" s="22"/>
      <c r="K41" s="491" t="s">
        <v>172</v>
      </c>
      <c r="L41" s="493">
        <v>129750</v>
      </c>
      <c r="M41" s="203"/>
      <c r="N41" s="5"/>
    </row>
    <row r="42" spans="1:14" ht="10.5" customHeight="1">
      <c r="A42" s="164"/>
      <c r="B42" s="4"/>
      <c r="C42" s="164"/>
      <c r="D42" s="4"/>
      <c r="E42" s="22"/>
      <c r="F42" s="164"/>
      <c r="G42" s="4"/>
      <c r="H42" s="164"/>
      <c r="I42" s="4"/>
      <c r="J42" s="22"/>
      <c r="K42" s="492"/>
      <c r="L42" s="494"/>
      <c r="M42" s="164"/>
      <c r="N42" s="4"/>
    </row>
    <row r="43" spans="1:14" ht="10.5" customHeight="1">
      <c r="A43" s="164"/>
      <c r="B43" s="4"/>
      <c r="C43" s="164"/>
      <c r="D43" s="4"/>
      <c r="E43" s="22"/>
      <c r="F43" s="164"/>
      <c r="G43" s="4"/>
      <c r="H43" s="164"/>
      <c r="I43" s="4"/>
      <c r="J43" s="22"/>
      <c r="K43" s="164"/>
      <c r="L43" s="4"/>
      <c r="M43" s="164"/>
      <c r="N43" s="4"/>
    </row>
    <row r="44" spans="1:14" ht="10.5" customHeight="1">
      <c r="A44" s="164"/>
      <c r="B44" s="4"/>
      <c r="C44" s="164"/>
      <c r="D44" s="4"/>
      <c r="E44" s="22"/>
      <c r="F44" s="164"/>
      <c r="G44" s="4"/>
      <c r="H44" s="164"/>
      <c r="I44" s="4"/>
      <c r="J44" s="22"/>
      <c r="K44" s="164"/>
      <c r="L44" s="4"/>
      <c r="M44" s="164"/>
      <c r="N44" s="4"/>
    </row>
    <row r="45" spans="1:14" ht="10.5" customHeight="1">
      <c r="A45" s="200"/>
      <c r="B45" s="201">
        <f>IF((B40+B41+B42+B43+B44-D40-D41-D42-D43-D44)&gt;0,(B40+B41+B42+B43+B44-D40-D41-D42-D43-D44),0)</f>
        <v>0</v>
      </c>
      <c r="C45" s="202"/>
      <c r="D45" s="201">
        <f>IF((B40+B41+B42+B43+B44-D40-D41-D42-D43-D44)&lt;0,-(B40+B41+B42+B43+B44-D40-D41-D42-D43-D44),0)</f>
        <v>5000</v>
      </c>
      <c r="E45" s="22"/>
      <c r="F45" s="200"/>
      <c r="G45" s="201">
        <f>IF((G40+G41+G42+G43+G44-I40-I41-I42-I43-I44)&gt;0,(G40+G41+G42+G43+G44-I40-I41-I42-I43-I44),0)</f>
        <v>0</v>
      </c>
      <c r="H45" s="202"/>
      <c r="I45" s="201">
        <f>IF((G40+G41+G42+G43+G44-I40-I41-I42-I43-I44)&lt;0,-(G40+G41+G42+G43+G44-I40-I41-I42-I43-I44),0)</f>
        <v>1476.5</v>
      </c>
      <c r="J45" s="22"/>
      <c r="K45" s="200"/>
      <c r="L45" s="201">
        <f>IF((L40+L41+L42+L43+L44-N40-N41-N42-N43-N44)&gt;0,(L40+L41+L42+L43+L44-N40-N41-N42-N43-N44),0)</f>
        <v>0</v>
      </c>
      <c r="M45" s="202"/>
      <c r="N45" s="201">
        <f>IF((L40+L41+L42+L43+L44-N40-N41-N42-N43-N44)&lt;0,-(L40+L41+L42+L43+L44-N40-N41-N42-N43-N44),0)</f>
        <v>0</v>
      </c>
    </row>
    <row r="46" spans="1:14" ht="10.5" customHeight="1">
      <c r="A46" s="165"/>
      <c r="B46" s="23"/>
      <c r="C46" s="165"/>
      <c r="D46" s="23"/>
      <c r="E46" s="22"/>
      <c r="F46" s="165"/>
      <c r="G46" s="23"/>
      <c r="H46" s="165"/>
      <c r="I46" s="23"/>
      <c r="J46" s="22"/>
      <c r="K46" s="165"/>
      <c r="L46" s="23"/>
      <c r="M46" s="165"/>
      <c r="N46" s="23"/>
    </row>
    <row r="47" spans="1:14" s="24" customFormat="1" ht="10.5" customHeight="1">
      <c r="A47" s="495" t="s">
        <v>13</v>
      </c>
      <c r="B47" s="495"/>
      <c r="C47" s="495"/>
      <c r="D47" s="495"/>
      <c r="E47" s="167"/>
      <c r="F47" s="496" t="s">
        <v>171</v>
      </c>
      <c r="G47" s="496"/>
      <c r="H47" s="496"/>
      <c r="I47" s="496"/>
      <c r="J47" s="167"/>
      <c r="K47" s="483"/>
      <c r="L47" s="483"/>
      <c r="M47" s="483"/>
      <c r="N47" s="483"/>
    </row>
    <row r="48" spans="1:14" ht="10.5" customHeight="1">
      <c r="A48" s="163" t="s">
        <v>60</v>
      </c>
      <c r="B48" s="21" t="s">
        <v>61</v>
      </c>
      <c r="C48" s="163" t="s">
        <v>60</v>
      </c>
      <c r="D48" s="21" t="s">
        <v>61</v>
      </c>
      <c r="E48" s="22"/>
      <c r="F48" s="163" t="s">
        <v>60</v>
      </c>
      <c r="G48" s="21" t="s">
        <v>61</v>
      </c>
      <c r="H48" s="163" t="s">
        <v>60</v>
      </c>
      <c r="I48" s="21" t="s">
        <v>61</v>
      </c>
      <c r="J48" s="22"/>
      <c r="K48" s="163" t="s">
        <v>60</v>
      </c>
      <c r="L48" s="21" t="s">
        <v>61</v>
      </c>
      <c r="M48" s="163" t="s">
        <v>60</v>
      </c>
      <c r="N48" s="21" t="s">
        <v>61</v>
      </c>
    </row>
    <row r="49" spans="1:14" ht="10.5" customHeight="1">
      <c r="A49" s="164"/>
      <c r="B49" s="4"/>
      <c r="C49" s="164" t="s">
        <v>62</v>
      </c>
      <c r="D49" s="335">
        <v>214500</v>
      </c>
      <c r="E49" s="22"/>
      <c r="F49" s="164"/>
      <c r="G49" s="4"/>
      <c r="H49" s="491" t="s">
        <v>172</v>
      </c>
      <c r="I49" s="493">
        <v>11233.02</v>
      </c>
      <c r="J49" s="22"/>
      <c r="K49" s="164"/>
      <c r="L49" s="4"/>
      <c r="M49" s="164"/>
      <c r="N49" s="4"/>
    </row>
    <row r="50" spans="1:14" ht="10.5" customHeight="1">
      <c r="A50" s="164">
        <v>4</v>
      </c>
      <c r="B50" s="4">
        <v>20350</v>
      </c>
      <c r="C50" s="164"/>
      <c r="D50" s="4"/>
      <c r="E50" s="22"/>
      <c r="F50" s="164"/>
      <c r="G50" s="4"/>
      <c r="H50" s="492"/>
      <c r="I50" s="494"/>
      <c r="J50" s="22"/>
      <c r="K50" s="164"/>
      <c r="L50" s="4"/>
      <c r="M50" s="164"/>
      <c r="N50" s="4"/>
    </row>
    <row r="51" spans="3:14" ht="10.5" customHeight="1">
      <c r="C51" s="491" t="s">
        <v>172</v>
      </c>
      <c r="D51" s="497">
        <v>118516.98</v>
      </c>
      <c r="E51" s="22"/>
      <c r="F51" s="164"/>
      <c r="G51" s="4"/>
      <c r="H51" s="203" t="s">
        <v>237</v>
      </c>
      <c r="I51" s="5">
        <v>7735.03</v>
      </c>
      <c r="J51" s="22"/>
      <c r="K51" s="164"/>
      <c r="L51" s="4"/>
      <c r="M51" s="164"/>
      <c r="N51" s="4"/>
    </row>
    <row r="52" spans="3:14" ht="10.5" customHeight="1">
      <c r="C52" s="492"/>
      <c r="D52" s="498"/>
      <c r="E52" s="22"/>
      <c r="F52" s="164"/>
      <c r="G52" s="4"/>
      <c r="H52" s="164"/>
      <c r="I52" s="4"/>
      <c r="J52" s="22"/>
      <c r="K52" s="164"/>
      <c r="L52" s="4"/>
      <c r="M52" s="164"/>
      <c r="N52" s="4"/>
    </row>
    <row r="53" spans="1:14" ht="10.5" customHeight="1">
      <c r="A53" s="187"/>
      <c r="B53" s="188"/>
      <c r="C53" s="203" t="s">
        <v>237</v>
      </c>
      <c r="D53" s="5">
        <v>151613.01</v>
      </c>
      <c r="E53" s="22"/>
      <c r="F53" s="164"/>
      <c r="G53" s="4"/>
      <c r="H53" s="164"/>
      <c r="I53" s="4"/>
      <c r="J53" s="22"/>
      <c r="K53" s="164"/>
      <c r="L53" s="4"/>
      <c r="M53" s="164"/>
      <c r="N53" s="4"/>
    </row>
    <row r="54" spans="1:14" ht="10.5" customHeight="1">
      <c r="A54" s="200"/>
      <c r="B54" s="201">
        <f>IF((B49+B50+B51+B52+B53-D49-D50-D51-D52-D53)&gt;0,(B49+B50+B51+B52+B53-D49-D50-D51-D52-D53),0)</f>
        <v>0</v>
      </c>
      <c r="C54" s="202"/>
      <c r="D54" s="201">
        <f>IF((B49+B50+B51+B52+B53-D49-D50-D51-D52-D53)&lt;0,-(B49+B50+B51+B52+B53-D49-D50-D51-D52-D53),0)</f>
        <v>464279.99</v>
      </c>
      <c r="E54" s="22"/>
      <c r="F54" s="200"/>
      <c r="G54" s="201">
        <f>IF((G49+G50+G51+G52+G53-I49-I50-I51-I52-I53)&gt;0,(G49+G50+G51+G52+G53-I49-I50-I51-I52-I53),0)</f>
        <v>0</v>
      </c>
      <c r="H54" s="202"/>
      <c r="I54" s="201">
        <f>IF((G49+G50+G51+G52+G53-I49-I50-I51-I52-I53)&lt;0,-(G49+G50+G51+G52+G53-I49-I50-I51-I52-I53),0)</f>
        <v>18968.05</v>
      </c>
      <c r="J54" s="22"/>
      <c r="K54" s="200"/>
      <c r="L54" s="201">
        <f>IF((L49+L50+L51+L52+L53-N49-N50-N51-N52-N53)&gt;0,(L49+L50+L51+L52+L53-N49-N50-N51-N52-N53),0)</f>
        <v>0</v>
      </c>
      <c r="M54" s="202"/>
      <c r="N54" s="201">
        <f>IF((L49+L50+L51+L52+L53-N49-N50-N51-N52-N53)&lt;0,-(L49+L50+L51+L52+L53-N49-N50-N51-N52-N53),0)</f>
        <v>0</v>
      </c>
    </row>
    <row r="55" spans="1:14" ht="10.5" customHeight="1">
      <c r="A55" s="165"/>
      <c r="B55" s="23"/>
      <c r="C55" s="165"/>
      <c r="D55" s="23"/>
      <c r="E55" s="22"/>
      <c r="F55" s="165"/>
      <c r="G55" s="23"/>
      <c r="H55" s="165"/>
      <c r="I55" s="23"/>
      <c r="J55" s="22"/>
      <c r="K55" s="165"/>
      <c r="L55" s="23"/>
      <c r="M55" s="165"/>
      <c r="N55" s="23"/>
    </row>
    <row r="56" spans="1:14" s="24" customFormat="1" ht="10.5" customHeight="1">
      <c r="A56" s="483" t="s">
        <v>14</v>
      </c>
      <c r="B56" s="483"/>
      <c r="C56" s="483"/>
      <c r="D56" s="483"/>
      <c r="E56" s="167"/>
      <c r="F56" s="483" t="s">
        <v>15</v>
      </c>
      <c r="G56" s="483"/>
      <c r="H56" s="483"/>
      <c r="I56" s="483"/>
      <c r="J56" s="167"/>
      <c r="K56" s="483" t="s">
        <v>17</v>
      </c>
      <c r="L56" s="483"/>
      <c r="M56" s="483"/>
      <c r="N56" s="483"/>
    </row>
    <row r="57" spans="1:14" ht="10.5" customHeight="1">
      <c r="A57" s="163" t="s">
        <v>60</v>
      </c>
      <c r="B57" s="21" t="s">
        <v>61</v>
      </c>
      <c r="C57" s="163" t="s">
        <v>60</v>
      </c>
      <c r="D57" s="21" t="s">
        <v>61</v>
      </c>
      <c r="E57" s="22"/>
      <c r="F57" s="163" t="s">
        <v>60</v>
      </c>
      <c r="G57" s="21" t="s">
        <v>61</v>
      </c>
      <c r="H57" s="163" t="s">
        <v>60</v>
      </c>
      <c r="I57" s="21" t="s">
        <v>61</v>
      </c>
      <c r="J57" s="22"/>
      <c r="K57" s="163" t="s">
        <v>60</v>
      </c>
      <c r="L57" s="21" t="s">
        <v>61</v>
      </c>
      <c r="M57" s="163" t="s">
        <v>60</v>
      </c>
      <c r="N57" s="21" t="s">
        <v>61</v>
      </c>
    </row>
    <row r="58" spans="1:14" ht="10.5" customHeight="1">
      <c r="A58" s="164"/>
      <c r="B58" s="4"/>
      <c r="C58" s="164">
        <v>1</v>
      </c>
      <c r="D58" s="4">
        <v>14000</v>
      </c>
      <c r="E58" s="22"/>
      <c r="F58" s="164">
        <v>1</v>
      </c>
      <c r="G58" s="4">
        <v>10000</v>
      </c>
      <c r="H58" s="164"/>
      <c r="I58" s="4"/>
      <c r="J58" s="22"/>
      <c r="K58" s="203" t="s">
        <v>237</v>
      </c>
      <c r="L58" s="5">
        <v>62382.12</v>
      </c>
      <c r="M58" s="164"/>
      <c r="N58" s="4"/>
    </row>
    <row r="59" spans="1:14" ht="10.5" customHeight="1">
      <c r="A59" s="164"/>
      <c r="B59" s="4"/>
      <c r="C59" s="203" t="s">
        <v>237</v>
      </c>
      <c r="D59" s="5">
        <v>6313.4</v>
      </c>
      <c r="E59" s="22"/>
      <c r="F59" s="203" t="s">
        <v>237</v>
      </c>
      <c r="G59" s="5">
        <v>4509.57</v>
      </c>
      <c r="H59" s="164"/>
      <c r="I59" s="4"/>
      <c r="J59" s="22"/>
      <c r="K59" s="164"/>
      <c r="L59" s="4"/>
      <c r="M59" s="164"/>
      <c r="N59" s="4"/>
    </row>
    <row r="60" spans="1:14" ht="10.5" customHeight="1">
      <c r="A60" s="164"/>
      <c r="B60" s="4"/>
      <c r="C60" s="164"/>
      <c r="D60" s="4"/>
      <c r="E60" s="22"/>
      <c r="F60" s="164"/>
      <c r="G60" s="4"/>
      <c r="H60" s="164"/>
      <c r="I60" s="4"/>
      <c r="J60" s="22"/>
      <c r="K60" s="164"/>
      <c r="L60" s="4"/>
      <c r="M60" s="164"/>
      <c r="N60" s="4"/>
    </row>
    <row r="61" spans="1:14" ht="10.5" customHeight="1">
      <c r="A61" s="164"/>
      <c r="B61" s="4"/>
      <c r="C61" s="164"/>
      <c r="D61" s="4"/>
      <c r="E61" s="22"/>
      <c r="F61" s="164"/>
      <c r="G61" s="4"/>
      <c r="H61" s="164"/>
      <c r="I61" s="4"/>
      <c r="J61" s="22"/>
      <c r="K61" s="164"/>
      <c r="L61" s="4"/>
      <c r="M61" s="164"/>
      <c r="N61" s="4"/>
    </row>
    <row r="62" spans="1:14" ht="10.5" customHeight="1">
      <c r="A62" s="164"/>
      <c r="B62" s="4"/>
      <c r="C62" s="164"/>
      <c r="D62" s="4"/>
      <c r="E62" s="22"/>
      <c r="F62" s="164"/>
      <c r="G62" s="4"/>
      <c r="H62" s="164"/>
      <c r="I62" s="4"/>
      <c r="J62" s="22"/>
      <c r="K62" s="164"/>
      <c r="L62" s="4"/>
      <c r="M62" s="164"/>
      <c r="N62" s="4"/>
    </row>
    <row r="63" spans="1:14" ht="10.5" customHeight="1">
      <c r="A63" s="200"/>
      <c r="B63" s="201">
        <f>IF((B58+B59+B60+B61+B62-D58-D59-D60-D61-D62)&gt;0,(B58+B59+B60+B61+B62-D58-D59-D60-D61-D62),0)</f>
        <v>0</v>
      </c>
      <c r="C63" s="202"/>
      <c r="D63" s="201">
        <f>IF((B58+B59+B60+B61+B62-D58-D59-D60-D61-D62)&lt;0,-(B58+B59+B60+B61+B62-D58-D59-D60-D61-D62),0)</f>
        <v>20313.4</v>
      </c>
      <c r="E63" s="22"/>
      <c r="F63" s="200"/>
      <c r="G63" s="201">
        <f>IF((G58+G59+G60+G61+G62-I58-I59-I60-I61-I62)&gt;0,(G58+G59+G60+G61+G62-I58-I59-I60-I61-I62),0)</f>
        <v>14509.57</v>
      </c>
      <c r="H63" s="202"/>
      <c r="I63" s="201">
        <f>IF((G58+G59+G60+G61+G62-I58-I59-I60-I61-I62)&lt;0,-(G58+G59+G60+G61+G62-I58-I59-I60-I61-I62),0)</f>
        <v>0</v>
      </c>
      <c r="J63" s="22"/>
      <c r="K63" s="200"/>
      <c r="L63" s="201">
        <f>IF((L58+L59+L60+L61+L62-N58-N59-N60-N61-N62)&gt;0,(L58+L59+L60+L61+L62-N58-N59-N60-N61-N62),0)</f>
        <v>62382.12</v>
      </c>
      <c r="M63" s="202"/>
      <c r="N63" s="201">
        <f>IF((L58+L59+L60+L61+L62-N58-N59-N60-N61-N62)&lt;0,-(L58+L59+L60+L61+L62-N58-N59-N60-N61-N62),0)</f>
        <v>0</v>
      </c>
    </row>
    <row r="64" spans="1:14" ht="10.5" customHeight="1">
      <c r="A64" s="165"/>
      <c r="B64" s="23"/>
      <c r="C64" s="165"/>
      <c r="D64" s="23"/>
      <c r="E64" s="22"/>
      <c r="F64" s="165"/>
      <c r="G64" s="23"/>
      <c r="H64" s="165"/>
      <c r="I64" s="23"/>
      <c r="J64" s="22"/>
      <c r="K64" s="165"/>
      <c r="L64" s="23"/>
      <c r="M64" s="165"/>
      <c r="N64" s="23"/>
    </row>
    <row r="65" spans="1:14" s="24" customFormat="1" ht="10.5" customHeight="1">
      <c r="A65" s="483" t="s">
        <v>16</v>
      </c>
      <c r="B65" s="483"/>
      <c r="C65" s="483"/>
      <c r="D65" s="483"/>
      <c r="E65" s="167"/>
      <c r="F65" s="483" t="s">
        <v>18</v>
      </c>
      <c r="G65" s="483"/>
      <c r="H65" s="483"/>
      <c r="I65" s="483"/>
      <c r="J65" s="167"/>
      <c r="K65" s="483" t="s">
        <v>19</v>
      </c>
      <c r="L65" s="483"/>
      <c r="M65" s="483"/>
      <c r="N65" s="483"/>
    </row>
    <row r="66" spans="1:14" ht="10.5" customHeight="1">
      <c r="A66" s="163" t="s">
        <v>60</v>
      </c>
      <c r="B66" s="21" t="s">
        <v>61</v>
      </c>
      <c r="C66" s="163" t="s">
        <v>60</v>
      </c>
      <c r="D66" s="21" t="s">
        <v>61</v>
      </c>
      <c r="E66" s="22"/>
      <c r="F66" s="163" t="s">
        <v>60</v>
      </c>
      <c r="G66" s="21" t="s">
        <v>61</v>
      </c>
      <c r="H66" s="163" t="s">
        <v>60</v>
      </c>
      <c r="I66" s="21" t="s">
        <v>61</v>
      </c>
      <c r="J66" s="22"/>
      <c r="K66" s="163" t="s">
        <v>60</v>
      </c>
      <c r="L66" s="21" t="s">
        <v>61</v>
      </c>
      <c r="M66" s="163" t="s">
        <v>60</v>
      </c>
      <c r="N66" s="21" t="s">
        <v>61</v>
      </c>
    </row>
    <row r="67" spans="1:14" ht="10.5" customHeight="1">
      <c r="A67" s="164"/>
      <c r="B67" s="4"/>
      <c r="C67" s="164"/>
      <c r="D67" s="4"/>
      <c r="E67" s="22"/>
      <c r="F67" s="164">
        <v>3</v>
      </c>
      <c r="G67" s="4">
        <v>5000</v>
      </c>
      <c r="H67" s="164"/>
      <c r="I67" s="4"/>
      <c r="J67" s="22"/>
      <c r="K67" s="164"/>
      <c r="L67" s="4"/>
      <c r="M67" s="164"/>
      <c r="N67" s="4"/>
    </row>
    <row r="68" spans="1:14" ht="10.5" customHeight="1">
      <c r="A68" s="164"/>
      <c r="B68" s="4"/>
      <c r="C68" s="164"/>
      <c r="D68" s="4"/>
      <c r="E68" s="22"/>
      <c r="F68" s="203" t="s">
        <v>237</v>
      </c>
      <c r="G68" s="5">
        <v>2254.79</v>
      </c>
      <c r="H68" s="164"/>
      <c r="I68" s="4"/>
      <c r="J68" s="22"/>
      <c r="K68" s="164"/>
      <c r="L68" s="4"/>
      <c r="M68" s="164"/>
      <c r="N68" s="4"/>
    </row>
    <row r="69" spans="1:14" ht="10.5" customHeight="1">
      <c r="A69" s="164"/>
      <c r="B69" s="4"/>
      <c r="C69" s="164"/>
      <c r="D69" s="4"/>
      <c r="E69" s="22"/>
      <c r="F69" s="164"/>
      <c r="G69" s="4"/>
      <c r="H69" s="164"/>
      <c r="I69" s="4"/>
      <c r="J69" s="22"/>
      <c r="K69" s="164"/>
      <c r="L69" s="4"/>
      <c r="M69" s="164"/>
      <c r="N69" s="4"/>
    </row>
    <row r="70" spans="1:14" ht="10.5" customHeight="1">
      <c r="A70" s="164"/>
      <c r="B70" s="4"/>
      <c r="C70" s="164"/>
      <c r="D70" s="4"/>
      <c r="E70" s="22"/>
      <c r="F70" s="164"/>
      <c r="G70" s="4"/>
      <c r="H70" s="164"/>
      <c r="I70" s="4"/>
      <c r="J70" s="22"/>
      <c r="K70" s="164"/>
      <c r="L70" s="4"/>
      <c r="M70" s="164"/>
      <c r="N70" s="4"/>
    </row>
    <row r="71" spans="1:14" ht="10.5" customHeight="1">
      <c r="A71" s="164"/>
      <c r="B71" s="4"/>
      <c r="C71" s="164"/>
      <c r="D71" s="4"/>
      <c r="E71" s="22"/>
      <c r="F71" s="164"/>
      <c r="G71" s="4"/>
      <c r="H71" s="164"/>
      <c r="I71" s="4"/>
      <c r="J71" s="22"/>
      <c r="K71" s="164"/>
      <c r="L71" s="4"/>
      <c r="M71" s="164"/>
      <c r="N71" s="4"/>
    </row>
    <row r="72" spans="1:14" ht="10.5" customHeight="1">
      <c r="A72" s="200"/>
      <c r="B72" s="201">
        <f>IF((B67+B68+B69+B70+B71-D67-D68-D69-D70-D71)&gt;0,(B67+B68+B69+B70+B71-D67-D68-D69-D70-D71),0)</f>
        <v>0</v>
      </c>
      <c r="C72" s="202"/>
      <c r="D72" s="201">
        <f>IF((B67+B68+B69+B70+B71-D67-D68-D69-D70-D71)&lt;0,-(B67+B68+B69+B70+B71-D67-D68-D69-D70-D71),0)</f>
        <v>0</v>
      </c>
      <c r="E72" s="22"/>
      <c r="F72" s="200"/>
      <c r="G72" s="201">
        <f>IF((G67+G68+G69+G70+G71-I67-I68-I69-I70-I71)&gt;0,(G67+G68+G69+G70+G71-I67-I68-I69-I70-I71),0)</f>
        <v>7254.79</v>
      </c>
      <c r="H72" s="202"/>
      <c r="I72" s="201">
        <f>IF((G67+G68+G69+G70+G71-I67-I68-I69-I70-I71)&lt;0,-(G67+G68+G69+G70+G71-I67-I68-I69-I70-I71),0)</f>
        <v>0</v>
      </c>
      <c r="J72" s="22"/>
      <c r="K72" s="200"/>
      <c r="L72" s="201">
        <f>IF((L67+L68+L69+L70+L71-N67-N68-N69-N70-N71)&gt;0,(L67+L68+L69+L70+L71-N67-N68-N69-N70-N71),0)</f>
        <v>0</v>
      </c>
      <c r="M72" s="202"/>
      <c r="N72" s="201">
        <f>IF((L67+L68+L69+L70+L71-N67-N68-N69-N70-N71)&lt;0,-(L67+L68+L69+L70+L71-N67-N68-N69-N70-N71),0)</f>
        <v>0</v>
      </c>
    </row>
    <row r="73" spans="1:14" ht="10.5" customHeight="1">
      <c r="A73" s="165"/>
      <c r="B73" s="23"/>
      <c r="C73" s="165"/>
      <c r="D73" s="23"/>
      <c r="E73" s="22"/>
      <c r="F73" s="165"/>
      <c r="G73" s="23"/>
      <c r="H73" s="165"/>
      <c r="I73" s="23"/>
      <c r="J73" s="22"/>
      <c r="K73" s="165"/>
      <c r="L73" s="23"/>
      <c r="M73" s="165"/>
      <c r="N73" s="23"/>
    </row>
    <row r="74" spans="1:14" s="24" customFormat="1" ht="13.5">
      <c r="A74" s="483" t="s">
        <v>173</v>
      </c>
      <c r="B74" s="483"/>
      <c r="C74" s="483"/>
      <c r="D74" s="483"/>
      <c r="E74" s="167"/>
      <c r="F74" s="496" t="s">
        <v>169</v>
      </c>
      <c r="G74" s="496"/>
      <c r="H74" s="496"/>
      <c r="I74" s="496"/>
      <c r="J74" s="167"/>
      <c r="K74" s="483"/>
      <c r="L74" s="483"/>
      <c r="M74" s="483"/>
      <c r="N74" s="483"/>
    </row>
    <row r="75" spans="1:14" ht="13.5">
      <c r="A75" s="163" t="s">
        <v>60</v>
      </c>
      <c r="B75" s="21" t="s">
        <v>61</v>
      </c>
      <c r="C75" s="163" t="s">
        <v>60</v>
      </c>
      <c r="D75" s="21" t="s">
        <v>61</v>
      </c>
      <c r="E75" s="22"/>
      <c r="F75" s="163" t="s">
        <v>60</v>
      </c>
      <c r="G75" s="21" t="s">
        <v>61</v>
      </c>
      <c r="H75" s="163" t="s">
        <v>60</v>
      </c>
      <c r="I75" s="21" t="s">
        <v>61</v>
      </c>
      <c r="J75" s="22"/>
      <c r="K75" s="163" t="s">
        <v>60</v>
      </c>
      <c r="L75" s="21" t="s">
        <v>61</v>
      </c>
      <c r="M75" s="163" t="s">
        <v>60</v>
      </c>
      <c r="N75" s="21" t="s">
        <v>61</v>
      </c>
    </row>
    <row r="76" spans="1:14" ht="13.5">
      <c r="A76" s="164"/>
      <c r="B76" s="4"/>
      <c r="C76" s="164"/>
      <c r="D76" s="4"/>
      <c r="E76" s="22"/>
      <c r="F76" s="203" t="s">
        <v>237</v>
      </c>
      <c r="G76" s="5">
        <v>2452.15</v>
      </c>
      <c r="H76" s="203" t="s">
        <v>237</v>
      </c>
      <c r="I76" s="5">
        <v>2838.33</v>
      </c>
      <c r="J76" s="22"/>
      <c r="K76" s="164"/>
      <c r="L76" s="4"/>
      <c r="M76" s="164"/>
      <c r="N76" s="4"/>
    </row>
    <row r="77" spans="1:14" ht="13.5">
      <c r="A77" s="164"/>
      <c r="B77" s="4"/>
      <c r="C77" s="164"/>
      <c r="D77" s="4"/>
      <c r="E77" s="22"/>
      <c r="F77" s="203"/>
      <c r="G77" s="5"/>
      <c r="H77" s="203" t="s">
        <v>237</v>
      </c>
      <c r="I77" s="5">
        <v>32000</v>
      </c>
      <c r="J77" s="22"/>
      <c r="K77" s="164"/>
      <c r="L77" s="4"/>
      <c r="M77" s="164"/>
      <c r="N77" s="4"/>
    </row>
    <row r="78" spans="1:14" ht="13.5">
      <c r="A78" s="164"/>
      <c r="B78" s="4"/>
      <c r="C78" s="164"/>
      <c r="D78" s="4"/>
      <c r="E78" s="22"/>
      <c r="F78" s="203"/>
      <c r="G78" s="5"/>
      <c r="H78" s="203" t="s">
        <v>237</v>
      </c>
      <c r="I78" s="5">
        <v>4509.57</v>
      </c>
      <c r="J78" s="22"/>
      <c r="K78" s="164"/>
      <c r="L78" s="4"/>
      <c r="M78" s="164"/>
      <c r="N78" s="4"/>
    </row>
    <row r="79" spans="1:14" ht="13.5">
      <c r="A79" s="164"/>
      <c r="B79" s="4"/>
      <c r="C79" s="164"/>
      <c r="D79" s="4"/>
      <c r="E79" s="22"/>
      <c r="F79" s="203"/>
      <c r="G79" s="5"/>
      <c r="H79" s="203" t="s">
        <v>237</v>
      </c>
      <c r="I79" s="5">
        <v>140924.87</v>
      </c>
      <c r="J79" s="22"/>
      <c r="K79" s="164"/>
      <c r="L79" s="4"/>
      <c r="M79" s="164"/>
      <c r="N79" s="4"/>
    </row>
    <row r="80" spans="1:14" ht="13.5">
      <c r="A80" s="164"/>
      <c r="B80" s="4"/>
      <c r="C80" s="164"/>
      <c r="D80" s="4"/>
      <c r="E80" s="22"/>
      <c r="F80" s="203" t="s">
        <v>237</v>
      </c>
      <c r="G80" s="5">
        <v>159824.54</v>
      </c>
      <c r="H80" s="203"/>
      <c r="I80" s="5"/>
      <c r="J80" s="22"/>
      <c r="K80" s="164"/>
      <c r="L80" s="4"/>
      <c r="M80" s="164"/>
      <c r="N80" s="4"/>
    </row>
    <row r="81" spans="1:14" ht="13.5">
      <c r="A81" s="164"/>
      <c r="B81" s="4"/>
      <c r="C81" s="164"/>
      <c r="D81" s="4"/>
      <c r="E81" s="22"/>
      <c r="F81" s="203" t="s">
        <v>237</v>
      </c>
      <c r="G81" s="5">
        <v>4058.61</v>
      </c>
      <c r="H81" s="203"/>
      <c r="I81" s="5"/>
      <c r="J81" s="22"/>
      <c r="K81" s="164"/>
      <c r="L81" s="4"/>
      <c r="M81" s="164"/>
      <c r="N81" s="4"/>
    </row>
    <row r="82" spans="1:14" ht="13.5">
      <c r="A82" s="200"/>
      <c r="B82" s="201">
        <f>IF((B76+B77+B78+B79+B81-D76-D77-D78-D79-D81)&gt;0,(B76+B77+B78+B79+B81-D76-D77-D78-D79-D81),0)</f>
        <v>0</v>
      </c>
      <c r="C82" s="202"/>
      <c r="D82" s="201">
        <f>IF((B76+B77+B78+B79+B80+B81-D76-D77-D78-D79-D80-D81)&lt;0,-(B76+B77+B78+B79+B80+B81-D76-D77-D78-D79-D80-D81),0)</f>
        <v>0</v>
      </c>
      <c r="E82" s="22"/>
      <c r="F82" s="200"/>
      <c r="G82" s="201">
        <f>IF((G76+G77+G78+G79+G81-I76-I77-I78-I79-I81)&gt;0,(G76+G77+G78+G79+G81-I76-I77-I78-I79-I81),0)</f>
        <v>0</v>
      </c>
      <c r="H82" s="202"/>
      <c r="I82" s="201">
        <f>IF((G76+G77+G78+G79+G80+G81-I76-I77-I78-I79-I80-I81)&lt;0,-(G76+G77+G78+G79+G80+G81-I76-I77-I78-I79-I80-I81),0)</f>
        <v>13937.470000000001</v>
      </c>
      <c r="J82" s="22"/>
      <c r="K82" s="200"/>
      <c r="L82" s="201">
        <f>IF((L76+L77+L78+L79+L81-N76-N77-N78-N79-N81)&gt;0,(L76+L77+L78+L79+L81-N76-N77-N78-N79-N81),0)</f>
        <v>0</v>
      </c>
      <c r="M82" s="202"/>
      <c r="N82" s="201">
        <f>IF((L76+L77+L78+L79+L80+L81-N76-N77-N78-N79-N80-N81)&lt;0,-(L76+L77+L78+L79+L80+L81-N76-N77-N78-N79-N80-N81),0)</f>
        <v>0</v>
      </c>
    </row>
    <row r="83" spans="1:14" ht="13.5">
      <c r="A83" s="165"/>
      <c r="B83" s="23"/>
      <c r="C83" s="165"/>
      <c r="D83" s="23"/>
      <c r="E83" s="22"/>
      <c r="F83" s="165"/>
      <c r="G83" s="23"/>
      <c r="H83" s="165"/>
      <c r="I83" s="23"/>
      <c r="J83" s="22"/>
      <c r="K83" s="165"/>
      <c r="L83" s="23"/>
      <c r="M83" s="165"/>
      <c r="N83" s="23"/>
    </row>
    <row r="85" spans="1:9" ht="15">
      <c r="A85" s="482" t="s">
        <v>238</v>
      </c>
      <c r="B85" s="482"/>
      <c r="C85" s="482"/>
      <c r="D85" s="482"/>
      <c r="E85" s="482"/>
      <c r="F85" s="482"/>
      <c r="G85" s="482"/>
      <c r="H85" s="482"/>
      <c r="I85" s="482"/>
    </row>
    <row r="86" spans="1:9" ht="13.5">
      <c r="A86" s="476" t="str">
        <f>+A2</f>
        <v>Caja</v>
      </c>
      <c r="B86" s="477"/>
      <c r="C86" s="477"/>
      <c r="D86" s="477"/>
      <c r="E86" s="477"/>
      <c r="F86" s="478"/>
      <c r="G86" s="2">
        <f>+B9</f>
        <v>6000</v>
      </c>
      <c r="H86" s="2"/>
      <c r="I86" s="2">
        <f>+D9</f>
        <v>0</v>
      </c>
    </row>
    <row r="87" spans="1:9" ht="13.5">
      <c r="A87" s="476" t="str">
        <f>+F2</f>
        <v>Bco. Santander C.C.</v>
      </c>
      <c r="B87" s="477"/>
      <c r="C87" s="477"/>
      <c r="D87" s="477"/>
      <c r="E87" s="477"/>
      <c r="F87" s="478"/>
      <c r="G87" s="2">
        <f>+G9</f>
        <v>500</v>
      </c>
      <c r="H87" s="2"/>
      <c r="I87" s="2">
        <f>+I9</f>
        <v>0</v>
      </c>
    </row>
    <row r="88" spans="1:9" ht="13.5">
      <c r="A88" s="476" t="str">
        <f>+K2</f>
        <v>Deudores por ventas</v>
      </c>
      <c r="B88" s="477"/>
      <c r="C88" s="477"/>
      <c r="D88" s="477"/>
      <c r="E88" s="477"/>
      <c r="F88" s="478"/>
      <c r="G88" s="2">
        <f>+L9</f>
        <v>27000</v>
      </c>
      <c r="H88" s="2"/>
      <c r="I88" s="2">
        <f>+N9</f>
        <v>0</v>
      </c>
    </row>
    <row r="89" spans="1:9" ht="13.5">
      <c r="A89" s="476" t="str">
        <f>+A11</f>
        <v>Intereses s/activos a devengar</v>
      </c>
      <c r="B89" s="477"/>
      <c r="C89" s="477"/>
      <c r="D89" s="477"/>
      <c r="E89" s="477"/>
      <c r="F89" s="478"/>
      <c r="G89" s="2">
        <f>+B18</f>
        <v>0</v>
      </c>
      <c r="H89" s="2"/>
      <c r="I89" s="2">
        <f>+D18</f>
        <v>161.67000000000007</v>
      </c>
    </row>
    <row r="90" spans="1:9" ht="13.5">
      <c r="A90" s="476" t="str">
        <f>+F11</f>
        <v>Mercaderías</v>
      </c>
      <c r="B90" s="477"/>
      <c r="C90" s="477"/>
      <c r="D90" s="477"/>
      <c r="E90" s="477"/>
      <c r="F90" s="478"/>
      <c r="G90" s="2">
        <f>+G18</f>
        <v>90000</v>
      </c>
      <c r="H90" s="2"/>
      <c r="I90" s="2">
        <f>+I18</f>
        <v>0</v>
      </c>
    </row>
    <row r="91" spans="1:9" ht="13.5">
      <c r="A91" s="476" t="str">
        <f>+K11</f>
        <v>Muebles y Utilies</v>
      </c>
      <c r="B91" s="477"/>
      <c r="C91" s="477"/>
      <c r="D91" s="477"/>
      <c r="E91" s="477"/>
      <c r="F91" s="478"/>
      <c r="G91" s="2">
        <f>+L18</f>
        <v>623821.25</v>
      </c>
      <c r="H91" s="2"/>
      <c r="I91" s="2">
        <f>+N18</f>
        <v>0</v>
      </c>
    </row>
    <row r="92" spans="1:9" ht="13.5">
      <c r="A92" s="476" t="str">
        <f>+A20</f>
        <v>Amortización acumulada M y U</v>
      </c>
      <c r="B92" s="477"/>
      <c r="C92" s="477"/>
      <c r="D92" s="477"/>
      <c r="E92" s="477"/>
      <c r="F92" s="478"/>
      <c r="G92" s="2">
        <f>+B27</f>
        <v>0</v>
      </c>
      <c r="H92" s="2"/>
      <c r="I92" s="2">
        <f>+D27</f>
        <v>249528.5</v>
      </c>
    </row>
    <row r="93" spans="1:9" ht="13.5">
      <c r="A93" s="476" t="str">
        <f>+F20</f>
        <v>Rodados</v>
      </c>
      <c r="B93" s="477"/>
      <c r="C93" s="477"/>
      <c r="D93" s="477"/>
      <c r="E93" s="477"/>
      <c r="F93" s="478"/>
      <c r="G93" s="2">
        <f>+G27</f>
        <v>823887</v>
      </c>
      <c r="H93" s="2"/>
      <c r="I93" s="2">
        <f>+I27</f>
        <v>0</v>
      </c>
    </row>
    <row r="94" spans="1:9" ht="13.5">
      <c r="A94" s="476" t="str">
        <f>+K20</f>
        <v>Amortización acumulada Rodados</v>
      </c>
      <c r="B94" s="477"/>
      <c r="C94" s="477"/>
      <c r="D94" s="477"/>
      <c r="E94" s="477"/>
      <c r="F94" s="478"/>
      <c r="G94" s="2">
        <f>+L27</f>
        <v>0</v>
      </c>
      <c r="H94" s="2"/>
      <c r="I94" s="2">
        <f>+N27</f>
        <v>823887</v>
      </c>
    </row>
    <row r="95" spans="1:9" ht="13.5">
      <c r="A95" s="476" t="str">
        <f>+A29</f>
        <v>Proveedores</v>
      </c>
      <c r="B95" s="477"/>
      <c r="C95" s="477"/>
      <c r="D95" s="477"/>
      <c r="E95" s="477"/>
      <c r="F95" s="478"/>
      <c r="G95" s="2">
        <f>+B36</f>
        <v>0</v>
      </c>
      <c r="H95" s="2"/>
      <c r="I95" s="2">
        <f>+D36</f>
        <v>38000</v>
      </c>
    </row>
    <row r="96" spans="1:9" ht="13.5">
      <c r="A96" s="476" t="str">
        <f>+F29</f>
        <v>Intereses s/pasivos a devengar</v>
      </c>
      <c r="B96" s="477"/>
      <c r="C96" s="477"/>
      <c r="D96" s="477"/>
      <c r="E96" s="477"/>
      <c r="F96" s="478"/>
      <c r="G96" s="2">
        <f>+G36</f>
        <v>547.8499999999999</v>
      </c>
      <c r="H96" s="2"/>
      <c r="I96" s="2">
        <f>+I36</f>
        <v>0</v>
      </c>
    </row>
    <row r="97" spans="1:9" ht="13.5">
      <c r="A97" s="476" t="str">
        <f>+K29</f>
        <v>Dividendos a pagar en efectivo</v>
      </c>
      <c r="B97" s="477"/>
      <c r="C97" s="477"/>
      <c r="D97" s="477"/>
      <c r="E97" s="477"/>
      <c r="F97" s="478"/>
      <c r="G97" s="2">
        <f>+L36</f>
        <v>0</v>
      </c>
      <c r="H97" s="2"/>
      <c r="I97" s="2">
        <f>+N36</f>
        <v>20350</v>
      </c>
    </row>
    <row r="98" spans="1:9" ht="13.5">
      <c r="A98" s="476" t="str">
        <f>+A38</f>
        <v>Capital Suscripto</v>
      </c>
      <c r="B98" s="477"/>
      <c r="C98" s="477"/>
      <c r="D98" s="477"/>
      <c r="E98" s="477"/>
      <c r="F98" s="478"/>
      <c r="G98" s="2">
        <f>+B45</f>
        <v>0</v>
      </c>
      <c r="H98" s="2"/>
      <c r="I98" s="2">
        <f>+D45</f>
        <v>5000</v>
      </c>
    </row>
    <row r="99" spans="1:9" ht="13.5">
      <c r="A99" s="476" t="str">
        <f>+F38</f>
        <v>Reserva Legal</v>
      </c>
      <c r="B99" s="477"/>
      <c r="C99" s="477"/>
      <c r="D99" s="477"/>
      <c r="E99" s="477"/>
      <c r="F99" s="478"/>
      <c r="G99" s="2">
        <f>+G45</f>
        <v>0</v>
      </c>
      <c r="H99" s="2"/>
      <c r="I99" s="2">
        <f>+I45</f>
        <v>1476.5</v>
      </c>
    </row>
    <row r="100" spans="1:9" ht="13.5">
      <c r="A100" s="476" t="str">
        <f>+K38</f>
        <v>Saldo de Remedición RT 48.</v>
      </c>
      <c r="B100" s="477"/>
      <c r="C100" s="477"/>
      <c r="D100" s="477"/>
      <c r="E100" s="477"/>
      <c r="F100" s="478"/>
      <c r="G100" s="2">
        <f>+L45</f>
        <v>0</v>
      </c>
      <c r="H100" s="2"/>
      <c r="I100" s="2">
        <f>+N45</f>
        <v>0</v>
      </c>
    </row>
    <row r="101" spans="1:9" ht="13.5">
      <c r="A101" s="476" t="str">
        <f>+A47</f>
        <v>Resultados no asignados</v>
      </c>
      <c r="B101" s="477"/>
      <c r="C101" s="477"/>
      <c r="D101" s="477"/>
      <c r="E101" s="477"/>
      <c r="F101" s="478"/>
      <c r="G101" s="2">
        <f>+B54</f>
        <v>0</v>
      </c>
      <c r="H101" s="2"/>
      <c r="I101" s="2">
        <f>+D54</f>
        <v>464279.99</v>
      </c>
    </row>
    <row r="102" spans="1:9" ht="13.5">
      <c r="A102" s="476" t="str">
        <f>+F47</f>
        <v>Ajuste del Capital</v>
      </c>
      <c r="B102" s="477"/>
      <c r="C102" s="477"/>
      <c r="D102" s="477"/>
      <c r="E102" s="477"/>
      <c r="F102" s="478"/>
      <c r="G102" s="2">
        <f>+G54</f>
        <v>0</v>
      </c>
      <c r="H102" s="2"/>
      <c r="I102" s="2">
        <f>+I54</f>
        <v>18968.05</v>
      </c>
    </row>
    <row r="103" spans="1:9" ht="13.5">
      <c r="A103" s="476">
        <f>+K47</f>
        <v>0</v>
      </c>
      <c r="B103" s="477"/>
      <c r="C103" s="477"/>
      <c r="D103" s="477"/>
      <c r="E103" s="477"/>
      <c r="F103" s="478"/>
      <c r="G103" s="2">
        <f>+L54</f>
        <v>0</v>
      </c>
      <c r="H103" s="2"/>
      <c r="I103" s="2">
        <f>+N54</f>
        <v>0</v>
      </c>
    </row>
    <row r="104" spans="1:9" ht="13.5">
      <c r="A104" s="476" t="str">
        <f>+A56</f>
        <v>Ventas</v>
      </c>
      <c r="B104" s="477"/>
      <c r="C104" s="477"/>
      <c r="D104" s="477"/>
      <c r="E104" s="477"/>
      <c r="F104" s="478"/>
      <c r="G104" s="2">
        <f>+B63</f>
        <v>0</v>
      </c>
      <c r="H104" s="2"/>
      <c r="I104" s="2">
        <f>+D63</f>
        <v>20313.4</v>
      </c>
    </row>
    <row r="105" spans="1:9" ht="13.5">
      <c r="A105" s="476" t="str">
        <f>+F56</f>
        <v>Costo de Ventas</v>
      </c>
      <c r="B105" s="477"/>
      <c r="C105" s="477"/>
      <c r="D105" s="477"/>
      <c r="E105" s="477"/>
      <c r="F105" s="478"/>
      <c r="G105" s="2">
        <f>+G63</f>
        <v>14509.57</v>
      </c>
      <c r="H105" s="2"/>
      <c r="I105" s="2">
        <f>+I63</f>
        <v>0</v>
      </c>
    </row>
    <row r="106" spans="1:9" ht="13.5">
      <c r="A106" s="476" t="str">
        <f>+K56</f>
        <v>Amortización Muebles y utiles</v>
      </c>
      <c r="B106" s="477"/>
      <c r="C106" s="477"/>
      <c r="D106" s="477"/>
      <c r="E106" s="477"/>
      <c r="F106" s="478"/>
      <c r="G106" s="2">
        <f>+L63</f>
        <v>62382.12</v>
      </c>
      <c r="H106" s="2"/>
      <c r="I106" s="2">
        <f>+N63</f>
        <v>0</v>
      </c>
    </row>
    <row r="107" spans="1:9" ht="13.5">
      <c r="A107" s="476" t="str">
        <f>+A65</f>
        <v>Amortización Rodados</v>
      </c>
      <c r="B107" s="477"/>
      <c r="C107" s="477"/>
      <c r="D107" s="477"/>
      <c r="E107" s="477"/>
      <c r="F107" s="478"/>
      <c r="G107" s="2">
        <f>+B72</f>
        <v>0</v>
      </c>
      <c r="H107" s="2"/>
      <c r="I107" s="2">
        <f>+D72</f>
        <v>0</v>
      </c>
    </row>
    <row r="108" spans="1:9" ht="13.5">
      <c r="A108" s="476" t="str">
        <f>+F65</f>
        <v>Honorarios</v>
      </c>
      <c r="B108" s="477"/>
      <c r="C108" s="477"/>
      <c r="D108" s="477"/>
      <c r="E108" s="477"/>
      <c r="F108" s="478"/>
      <c r="G108" s="2">
        <f>+G72</f>
        <v>7254.79</v>
      </c>
      <c r="H108" s="2"/>
      <c r="I108" s="2">
        <f>+I72</f>
        <v>0</v>
      </c>
    </row>
    <row r="109" spans="1:9" ht="13.5">
      <c r="A109" s="476" t="str">
        <f>+K65</f>
        <v>Fletes Mercaderías remitidas</v>
      </c>
      <c r="B109" s="477"/>
      <c r="C109" s="477"/>
      <c r="D109" s="477"/>
      <c r="E109" s="477"/>
      <c r="F109" s="478"/>
      <c r="G109" s="2">
        <f>+L72</f>
        <v>0</v>
      </c>
      <c r="H109" s="2"/>
      <c r="I109" s="2">
        <f>+N72</f>
        <v>0</v>
      </c>
    </row>
    <row r="110" spans="1:9" ht="13.5">
      <c r="A110" s="476" t="str">
        <f>+A74</f>
        <v>Intereses cedidos</v>
      </c>
      <c r="B110" s="477"/>
      <c r="C110" s="477"/>
      <c r="D110" s="477"/>
      <c r="E110" s="477"/>
      <c r="F110" s="478"/>
      <c r="G110" s="2">
        <f>+B82</f>
        <v>0</v>
      </c>
      <c r="H110" s="2"/>
      <c r="I110" s="2">
        <f>+D82</f>
        <v>0</v>
      </c>
    </row>
    <row r="111" spans="1:9" ht="13.5">
      <c r="A111" s="476" t="str">
        <f>+F74</f>
        <v>RFT</v>
      </c>
      <c r="B111" s="477"/>
      <c r="C111" s="477"/>
      <c r="D111" s="477"/>
      <c r="E111" s="477"/>
      <c r="F111" s="478"/>
      <c r="G111" s="2">
        <f>+G82</f>
        <v>0</v>
      </c>
      <c r="H111" s="2"/>
      <c r="I111" s="2">
        <f>+I82</f>
        <v>13937.470000000001</v>
      </c>
    </row>
    <row r="112" spans="1:9" ht="13.5">
      <c r="A112" s="476">
        <f>+K74</f>
        <v>0</v>
      </c>
      <c r="B112" s="477"/>
      <c r="C112" s="477"/>
      <c r="D112" s="477"/>
      <c r="E112" s="477"/>
      <c r="F112" s="478"/>
      <c r="G112" s="2">
        <f>+L82</f>
        <v>0</v>
      </c>
      <c r="H112" s="2"/>
      <c r="I112" s="2">
        <f>+N82</f>
        <v>0</v>
      </c>
    </row>
    <row r="113" spans="1:9" ht="17.25">
      <c r="A113" s="479" t="s">
        <v>20</v>
      </c>
      <c r="B113" s="480"/>
      <c r="C113" s="480"/>
      <c r="D113" s="480"/>
      <c r="E113" s="480"/>
      <c r="F113" s="481"/>
      <c r="G113" s="219">
        <f>SUM(G86:G112)</f>
        <v>1655902.5800000003</v>
      </c>
      <c r="H113" s="219"/>
      <c r="I113" s="219">
        <f>SUM(I86:I112)</f>
        <v>1655902.5799999998</v>
      </c>
    </row>
    <row r="116" ht="13.5">
      <c r="I116" s="204">
        <f>+G113-I113</f>
        <v>0</v>
      </c>
    </row>
  </sheetData>
  <sheetProtection/>
  <mergeCells count="63">
    <mergeCell ref="K41:K42"/>
    <mergeCell ref="L41:L42"/>
    <mergeCell ref="C51:C52"/>
    <mergeCell ref="D51:D52"/>
    <mergeCell ref="K74:N74"/>
    <mergeCell ref="F74:I74"/>
    <mergeCell ref="A74:D74"/>
    <mergeCell ref="A65:D65"/>
    <mergeCell ref="F65:I65"/>
    <mergeCell ref="K65:N65"/>
    <mergeCell ref="A1:N1"/>
    <mergeCell ref="H49:H50"/>
    <mergeCell ref="I49:I50"/>
    <mergeCell ref="A56:D56"/>
    <mergeCell ref="F56:I56"/>
    <mergeCell ref="K56:N56"/>
    <mergeCell ref="A38:D38"/>
    <mergeCell ref="F38:I38"/>
    <mergeCell ref="K38:N38"/>
    <mergeCell ref="A47:D47"/>
    <mergeCell ref="F47:I47"/>
    <mergeCell ref="K47:N47"/>
    <mergeCell ref="A20:D20"/>
    <mergeCell ref="F20:I20"/>
    <mergeCell ref="K20:N20"/>
    <mergeCell ref="A29:D29"/>
    <mergeCell ref="F29:I29"/>
    <mergeCell ref="K29:N29"/>
    <mergeCell ref="A2:D2"/>
    <mergeCell ref="F2:I2"/>
    <mergeCell ref="K2:N2"/>
    <mergeCell ref="A11:D11"/>
    <mergeCell ref="F11:I11"/>
    <mergeCell ref="K11:N11"/>
    <mergeCell ref="A86:F86"/>
    <mergeCell ref="A87:F87"/>
    <mergeCell ref="A88:F88"/>
    <mergeCell ref="A89:F89"/>
    <mergeCell ref="A90:F90"/>
    <mergeCell ref="A98:F98"/>
    <mergeCell ref="A99:F99"/>
    <mergeCell ref="A100:F100"/>
    <mergeCell ref="A91:F91"/>
    <mergeCell ref="A92:F92"/>
    <mergeCell ref="A93:F93"/>
    <mergeCell ref="A94:F94"/>
    <mergeCell ref="A95:F95"/>
    <mergeCell ref="A111:F111"/>
    <mergeCell ref="A112:F112"/>
    <mergeCell ref="A113:F113"/>
    <mergeCell ref="A85:I85"/>
    <mergeCell ref="A106:F106"/>
    <mergeCell ref="A107:F107"/>
    <mergeCell ref="A108:F108"/>
    <mergeCell ref="A109:F109"/>
    <mergeCell ref="A110:F110"/>
    <mergeCell ref="A101:F101"/>
    <mergeCell ref="A102:F102"/>
    <mergeCell ref="A103:F103"/>
    <mergeCell ref="A104:F104"/>
    <mergeCell ref="A105:F105"/>
    <mergeCell ref="A96:F96"/>
    <mergeCell ref="A97:F97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4.28125" style="0" customWidth="1"/>
    <col min="3" max="3" width="12.28125" style="0" customWidth="1"/>
  </cols>
  <sheetData>
    <row r="1" spans="1:3" ht="19.5" thickBot="1">
      <c r="A1" s="353" t="s">
        <v>32</v>
      </c>
      <c r="B1" s="354"/>
      <c r="C1" s="355"/>
    </row>
    <row r="2" spans="1:3" ht="18" customHeight="1">
      <c r="A2" s="10" t="s">
        <v>25</v>
      </c>
      <c r="B2" s="9">
        <v>9000</v>
      </c>
      <c r="C2" s="11"/>
    </row>
    <row r="3" spans="1:3" ht="18" customHeight="1">
      <c r="A3" s="330" t="s">
        <v>26</v>
      </c>
      <c r="B3" s="7"/>
      <c r="C3" s="12">
        <v>9000</v>
      </c>
    </row>
    <row r="4" spans="1:3" ht="18" customHeight="1">
      <c r="A4" s="235"/>
      <c r="B4" s="236"/>
      <c r="C4" s="237"/>
    </row>
    <row r="5" spans="1:3" ht="18" customHeight="1">
      <c r="A5" s="235"/>
      <c r="B5" s="236"/>
      <c r="C5" s="237"/>
    </row>
    <row r="6" spans="1:3" ht="18" customHeight="1">
      <c r="A6" s="235"/>
      <c r="B6" s="236"/>
      <c r="C6" s="237"/>
    </row>
    <row r="7" spans="1:3" ht="18" customHeight="1">
      <c r="A7" s="238"/>
      <c r="B7" s="236"/>
      <c r="C7" s="237"/>
    </row>
    <row r="8" spans="1:3" ht="18" customHeight="1">
      <c r="A8" s="13" t="s">
        <v>27</v>
      </c>
      <c r="B8" s="7">
        <v>172500</v>
      </c>
      <c r="C8" s="12"/>
    </row>
    <row r="9" spans="1:3" ht="18" customHeight="1">
      <c r="A9" s="13" t="s">
        <v>28</v>
      </c>
      <c r="B9" s="7">
        <v>358000</v>
      </c>
      <c r="C9" s="12"/>
    </row>
    <row r="10" spans="1:3" ht="18" customHeight="1">
      <c r="A10" s="13" t="s">
        <v>29</v>
      </c>
      <c r="B10" s="7"/>
      <c r="C10" s="12">
        <v>51750</v>
      </c>
    </row>
    <row r="11" spans="1:3" ht="18" customHeight="1">
      <c r="A11" s="13" t="s">
        <v>30</v>
      </c>
      <c r="B11" s="7"/>
      <c r="C11" s="12">
        <v>358000</v>
      </c>
    </row>
    <row r="12" spans="1:3" ht="18" customHeight="1" thickBot="1">
      <c r="A12" s="331" t="s">
        <v>31</v>
      </c>
      <c r="B12" s="14"/>
      <c r="C12" s="15">
        <v>120750</v>
      </c>
    </row>
    <row r="13" ht="15.75" thickBot="1"/>
    <row r="14" spans="1:3" ht="42.75" customHeight="1" thickBot="1">
      <c r="A14" s="356" t="s">
        <v>246</v>
      </c>
      <c r="B14" s="357"/>
      <c r="C14" s="358"/>
    </row>
    <row r="15" ht="15.75" thickBot="1"/>
    <row r="16" spans="1:3" ht="48.75" customHeight="1" thickBot="1">
      <c r="A16" s="356" t="s">
        <v>257</v>
      </c>
      <c r="B16" s="357"/>
      <c r="C16" s="358"/>
    </row>
    <row r="17" ht="15" thickBot="1"/>
    <row r="18" spans="1:3" ht="28.5" customHeight="1" thickBot="1">
      <c r="A18" s="359" t="s">
        <v>247</v>
      </c>
      <c r="B18" s="360"/>
      <c r="C18" s="361"/>
    </row>
  </sheetData>
  <sheetProtection/>
  <mergeCells count="4">
    <mergeCell ref="A1:C1"/>
    <mergeCell ref="A14:C14"/>
    <mergeCell ref="A16:C16"/>
    <mergeCell ref="A18:C1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6.421875" style="0" customWidth="1"/>
    <col min="2" max="2" width="15.00390625" style="0" customWidth="1"/>
    <col min="3" max="3" width="16.8515625" style="0" customWidth="1"/>
    <col min="7" max="7" width="4.57421875" style="0" customWidth="1"/>
    <col min="8" max="8" width="6.7109375" style="0" customWidth="1"/>
  </cols>
  <sheetData>
    <row r="1" spans="1:3" ht="15">
      <c r="A1" s="351" t="s">
        <v>21</v>
      </c>
      <c r="B1" s="351"/>
      <c r="C1" s="351"/>
    </row>
    <row r="2" spans="1:3" ht="15">
      <c r="A2" s="351" t="s">
        <v>33</v>
      </c>
      <c r="B2" s="351"/>
      <c r="C2" s="351"/>
    </row>
    <row r="3" spans="1:3" ht="15">
      <c r="A3" s="352" t="s">
        <v>248</v>
      </c>
      <c r="B3" s="352"/>
      <c r="C3" s="352"/>
    </row>
    <row r="4" spans="1:3" ht="15">
      <c r="A4" s="2"/>
      <c r="B4" s="368" t="s">
        <v>23</v>
      </c>
      <c r="C4" s="368"/>
    </row>
    <row r="5" spans="1:3" ht="15">
      <c r="A5" s="2"/>
      <c r="B5" s="3" t="s">
        <v>0</v>
      </c>
      <c r="C5" s="3" t="s">
        <v>1</v>
      </c>
    </row>
    <row r="6" spans="1:3" ht="15">
      <c r="A6" s="2" t="s">
        <v>2</v>
      </c>
      <c r="B6" s="2">
        <v>1000</v>
      </c>
      <c r="C6" s="2"/>
    </row>
    <row r="7" spans="1:3" ht="15">
      <c r="A7" s="2" t="s">
        <v>3</v>
      </c>
      <c r="B7" s="2">
        <v>3500</v>
      </c>
      <c r="C7" s="2"/>
    </row>
    <row r="8" spans="1:3" ht="15">
      <c r="A8" s="2" t="s">
        <v>4</v>
      </c>
      <c r="B8" s="2">
        <v>22000</v>
      </c>
      <c r="C8" s="2"/>
    </row>
    <row r="9" spans="1:3" ht="15">
      <c r="A9" s="2" t="s">
        <v>36</v>
      </c>
      <c r="B9" s="2"/>
      <c r="C9" s="2">
        <v>2000</v>
      </c>
    </row>
    <row r="10" spans="1:3" ht="15">
      <c r="A10" s="2" t="s">
        <v>5</v>
      </c>
      <c r="B10" s="5">
        <v>65000</v>
      </c>
      <c r="C10" s="2"/>
    </row>
    <row r="11" spans="1:3" ht="15">
      <c r="A11" s="2" t="s">
        <v>8</v>
      </c>
      <c r="B11" s="5">
        <v>422500</v>
      </c>
      <c r="C11" s="2"/>
    </row>
    <row r="12" spans="1:3" ht="15">
      <c r="A12" s="2" t="s">
        <v>9</v>
      </c>
      <c r="B12" s="2"/>
      <c r="C12" s="5">
        <v>126750</v>
      </c>
    </row>
    <row r="13" spans="1:3" ht="15">
      <c r="A13" s="2" t="s">
        <v>6</v>
      </c>
      <c r="B13" s="5">
        <v>558000</v>
      </c>
      <c r="C13" s="2"/>
    </row>
    <row r="14" spans="1:7" ht="15">
      <c r="A14" s="2" t="s">
        <v>7</v>
      </c>
      <c r="B14" s="2"/>
      <c r="C14" s="5">
        <v>558000</v>
      </c>
      <c r="F14" s="17">
        <f>SUM(B6:B13)-C9-C12-C14</f>
        <v>385250</v>
      </c>
      <c r="G14" s="18" t="s">
        <v>249</v>
      </c>
    </row>
    <row r="15" spans="1:8" ht="15">
      <c r="A15" s="2" t="s">
        <v>10</v>
      </c>
      <c r="B15" s="2"/>
      <c r="C15" s="2">
        <v>38000</v>
      </c>
      <c r="F15" s="18"/>
      <c r="G15" s="18"/>
      <c r="H15" s="18"/>
    </row>
    <row r="16" spans="1:7" ht="15">
      <c r="A16" s="2" t="s">
        <v>37</v>
      </c>
      <c r="B16" s="2">
        <v>3000</v>
      </c>
      <c r="C16" s="2"/>
      <c r="F16" s="17">
        <f>+C15-B16</f>
        <v>35000</v>
      </c>
      <c r="G16" s="18" t="s">
        <v>249</v>
      </c>
    </row>
    <row r="17" spans="1:3" ht="15">
      <c r="A17" s="2" t="s">
        <v>11</v>
      </c>
      <c r="B17" s="2"/>
      <c r="C17" s="2">
        <v>5000</v>
      </c>
    </row>
    <row r="18" spans="1:3" ht="15">
      <c r="A18" s="2" t="s">
        <v>12</v>
      </c>
      <c r="B18" s="2"/>
      <c r="C18" s="2">
        <v>1000</v>
      </c>
    </row>
    <row r="19" spans="1:3" ht="15">
      <c r="A19" s="5" t="s">
        <v>22</v>
      </c>
      <c r="B19" s="2"/>
      <c r="C19" s="5">
        <f>120750+9000</f>
        <v>129750</v>
      </c>
    </row>
    <row r="20" spans="1:6" ht="15">
      <c r="A20" s="2" t="s">
        <v>13</v>
      </c>
      <c r="B20" s="2"/>
      <c r="C20" s="2">
        <v>208000</v>
      </c>
      <c r="F20" s="17"/>
    </row>
    <row r="21" spans="1:7" ht="15.75" thickBot="1">
      <c r="A21" s="2"/>
      <c r="B21" s="2"/>
      <c r="C21" s="2"/>
      <c r="G21" s="6"/>
    </row>
    <row r="22" spans="1:5" ht="15">
      <c r="A22" s="2" t="s">
        <v>14</v>
      </c>
      <c r="B22" s="2"/>
      <c r="C22" s="8">
        <v>100000</v>
      </c>
      <c r="D22" s="362" t="s">
        <v>250</v>
      </c>
      <c r="E22" s="363"/>
    </row>
    <row r="23" spans="1:5" ht="14.25" customHeight="1">
      <c r="A23" s="2" t="s">
        <v>15</v>
      </c>
      <c r="B23" s="2">
        <v>56000</v>
      </c>
      <c r="C23" s="8"/>
      <c r="D23" s="364"/>
      <c r="E23" s="365"/>
    </row>
    <row r="24" spans="1:5" ht="14.25">
      <c r="A24" s="2" t="s">
        <v>17</v>
      </c>
      <c r="B24" s="2">
        <v>25000</v>
      </c>
      <c r="C24" s="8"/>
      <c r="D24" s="364"/>
      <c r="E24" s="365"/>
    </row>
    <row r="25" spans="1:5" ht="14.25">
      <c r="A25" s="2" t="s">
        <v>16</v>
      </c>
      <c r="B25" s="2">
        <v>0</v>
      </c>
      <c r="C25" s="8"/>
      <c r="D25" s="364"/>
      <c r="E25" s="365"/>
    </row>
    <row r="26" spans="1:5" ht="14.25">
      <c r="A26" s="2" t="s">
        <v>18</v>
      </c>
      <c r="B26" s="2">
        <v>10000</v>
      </c>
      <c r="C26" s="8"/>
      <c r="D26" s="364"/>
      <c r="E26" s="365"/>
    </row>
    <row r="27" spans="1:5" ht="14.25">
      <c r="A27" s="2" t="s">
        <v>19</v>
      </c>
      <c r="B27" s="2">
        <v>2500</v>
      </c>
      <c r="C27" s="8"/>
      <c r="D27" s="364"/>
      <c r="E27" s="365"/>
    </row>
    <row r="28" spans="1:5" ht="15" thickBot="1">
      <c r="A28" s="2" t="s">
        <v>173</v>
      </c>
      <c r="B28" s="2"/>
      <c r="C28" s="8"/>
      <c r="D28" s="366"/>
      <c r="E28" s="367"/>
    </row>
    <row r="29" spans="1:3" ht="14.25">
      <c r="A29" s="2"/>
      <c r="B29" s="2"/>
      <c r="C29" s="2"/>
    </row>
    <row r="30" spans="1:5" ht="14.25">
      <c r="A30" s="2" t="s">
        <v>20</v>
      </c>
      <c r="B30" s="2">
        <f>SUM(B6:B29)</f>
        <v>1168500</v>
      </c>
      <c r="C30" s="2">
        <f>SUM(C6:C29)</f>
        <v>1168500</v>
      </c>
      <c r="E30" s="6"/>
    </row>
    <row r="32" ht="14.25">
      <c r="C32" s="6"/>
    </row>
  </sheetData>
  <sheetProtection/>
  <mergeCells count="5">
    <mergeCell ref="D22:E28"/>
    <mergeCell ref="B4:C4"/>
    <mergeCell ref="A3:C3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47.57421875" style="0" customWidth="1"/>
    <col min="2" max="2" width="12.421875" style="0" bestFit="1" customWidth="1"/>
    <col min="3" max="3" width="13.421875" style="0" customWidth="1"/>
    <col min="4" max="4" width="13.8515625" style="0" customWidth="1"/>
    <col min="5" max="5" width="12.421875" style="0" bestFit="1" customWidth="1"/>
  </cols>
  <sheetData>
    <row r="1" spans="1:3" ht="15">
      <c r="A1" s="351" t="s">
        <v>21</v>
      </c>
      <c r="B1" s="351"/>
      <c r="C1" s="351"/>
    </row>
    <row r="2" spans="1:3" ht="15">
      <c r="A2" s="369" t="s">
        <v>35</v>
      </c>
      <c r="B2" s="369"/>
      <c r="C2" s="369"/>
    </row>
    <row r="3" spans="1:3" ht="15">
      <c r="A3" s="370" t="s">
        <v>251</v>
      </c>
      <c r="B3" s="370"/>
      <c r="C3" s="370"/>
    </row>
    <row r="4" spans="1:3" ht="15">
      <c r="A4" s="2"/>
      <c r="B4" s="3" t="s">
        <v>0</v>
      </c>
      <c r="C4" s="3" t="s">
        <v>1</v>
      </c>
    </row>
    <row r="5" ht="15">
      <c r="A5" s="16" t="s">
        <v>34</v>
      </c>
    </row>
    <row r="6" spans="1:3" ht="15">
      <c r="A6" s="2" t="s">
        <v>2</v>
      </c>
      <c r="B6" s="4">
        <v>1000</v>
      </c>
      <c r="C6" s="4"/>
    </row>
    <row r="7" spans="1:3" ht="15">
      <c r="A7" s="2" t="s">
        <v>3</v>
      </c>
      <c r="B7" s="4">
        <v>3500</v>
      </c>
      <c r="C7" s="4"/>
    </row>
    <row r="8" spans="1:3" ht="15">
      <c r="A8" s="2" t="s">
        <v>4</v>
      </c>
      <c r="B8" s="4">
        <v>22000</v>
      </c>
      <c r="C8" s="4"/>
    </row>
    <row r="9" spans="1:3" ht="15">
      <c r="A9" s="2" t="s">
        <v>5</v>
      </c>
      <c r="B9" s="4">
        <v>65000</v>
      </c>
      <c r="C9" s="4"/>
    </row>
    <row r="10" spans="1:3" ht="15">
      <c r="A10" s="2" t="s">
        <v>8</v>
      </c>
      <c r="B10" s="4">
        <v>422500</v>
      </c>
      <c r="C10" s="4"/>
    </row>
    <row r="11" spans="1:3" ht="15">
      <c r="A11" s="2" t="s">
        <v>6</v>
      </c>
      <c r="B11" s="4">
        <v>558000</v>
      </c>
      <c r="C11" s="4"/>
    </row>
    <row r="12" spans="1:3" ht="14.25">
      <c r="A12" s="2" t="s">
        <v>37</v>
      </c>
      <c r="B12" s="2">
        <v>3000</v>
      </c>
      <c r="C12" s="4"/>
    </row>
    <row r="13" spans="1:3" ht="14.25">
      <c r="A13" s="2" t="s">
        <v>36</v>
      </c>
      <c r="B13" s="2"/>
      <c r="C13" s="2">
        <v>2000</v>
      </c>
    </row>
    <row r="14" spans="1:3" ht="14.25">
      <c r="A14" s="2" t="s">
        <v>9</v>
      </c>
      <c r="B14" s="4"/>
      <c r="C14" s="4">
        <v>126750</v>
      </c>
    </row>
    <row r="15" spans="1:3" ht="14.25">
      <c r="A15" s="2" t="s">
        <v>7</v>
      </c>
      <c r="B15" s="4"/>
      <c r="C15" s="4">
        <v>558000</v>
      </c>
    </row>
    <row r="16" spans="1:3" ht="14.25">
      <c r="A16" s="2" t="s">
        <v>10</v>
      </c>
      <c r="B16" s="4"/>
      <c r="C16" s="4">
        <v>38000</v>
      </c>
    </row>
    <row r="17" spans="1:3" ht="14.25">
      <c r="A17" s="2" t="s">
        <v>11</v>
      </c>
      <c r="B17" s="4"/>
      <c r="C17" s="4">
        <v>5000</v>
      </c>
    </row>
    <row r="18" spans="1:3" ht="14.25">
      <c r="A18" s="2" t="s">
        <v>12</v>
      </c>
      <c r="B18" s="4"/>
      <c r="C18" s="4">
        <v>1000</v>
      </c>
    </row>
    <row r="19" spans="1:3" ht="14.25">
      <c r="A19" s="2" t="s">
        <v>22</v>
      </c>
      <c r="B19" s="4"/>
      <c r="C19" s="4">
        <f>120750+9000</f>
        <v>129750</v>
      </c>
    </row>
    <row r="20" spans="1:5" ht="14.25">
      <c r="A20" s="2" t="s">
        <v>13</v>
      </c>
      <c r="B20" s="4"/>
      <c r="C20" s="4">
        <v>214500</v>
      </c>
      <c r="D20" s="6"/>
      <c r="E20" s="6"/>
    </row>
    <row r="21" spans="1:3" ht="25.5">
      <c r="A21" s="25">
        <v>43101</v>
      </c>
      <c r="B21" s="19">
        <f>SUM(B6:B20)</f>
        <v>1075000</v>
      </c>
      <c r="C21" s="19">
        <f>SUM(C6:C20)</f>
        <v>1075000</v>
      </c>
    </row>
    <row r="22" spans="1:3" ht="14.25">
      <c r="A22" s="2" t="s">
        <v>2</v>
      </c>
      <c r="B22" s="4">
        <v>10000</v>
      </c>
      <c r="C22" s="4"/>
    </row>
    <row r="23" spans="1:3" ht="14.25">
      <c r="A23" s="2" t="s">
        <v>4</v>
      </c>
      <c r="B23" s="4">
        <v>5000</v>
      </c>
      <c r="C23" s="4"/>
    </row>
    <row r="24" spans="1:3" ht="14.25">
      <c r="A24" s="2" t="s">
        <v>14</v>
      </c>
      <c r="B24" s="4"/>
      <c r="C24" s="4">
        <v>14000</v>
      </c>
    </row>
    <row r="25" spans="1:3" ht="14.25">
      <c r="A25" s="2" t="s">
        <v>36</v>
      </c>
      <c r="B25" s="4"/>
      <c r="C25" s="4">
        <v>1000</v>
      </c>
    </row>
    <row r="26" spans="1:3" ht="14.25">
      <c r="A26" s="2" t="s">
        <v>15</v>
      </c>
      <c r="B26" s="4">
        <v>10000</v>
      </c>
      <c r="C26" s="4"/>
    </row>
    <row r="27" spans="1:3" ht="14.25">
      <c r="A27" s="2" t="s">
        <v>38</v>
      </c>
      <c r="B27" s="4"/>
      <c r="C27" s="4">
        <v>10000</v>
      </c>
    </row>
    <row r="28" spans="1:3" ht="25.5">
      <c r="A28" s="25">
        <v>43160</v>
      </c>
      <c r="B28" s="19">
        <f>SUM(B13:B27)</f>
        <v>1100000</v>
      </c>
      <c r="C28" s="19">
        <f>SUM(C13:C27)</f>
        <v>2175000</v>
      </c>
    </row>
    <row r="29" spans="1:3" ht="14.25">
      <c r="A29" s="2" t="s">
        <v>18</v>
      </c>
      <c r="B29" s="4">
        <v>5000</v>
      </c>
      <c r="C29" s="4"/>
    </row>
    <row r="30" spans="1:3" ht="14.25">
      <c r="A30" s="2" t="s">
        <v>2</v>
      </c>
      <c r="B30" s="4"/>
      <c r="C30" s="4">
        <v>5000</v>
      </c>
    </row>
    <row r="31" spans="1:3" ht="14.25">
      <c r="A31" s="2"/>
      <c r="B31" s="4"/>
      <c r="C31" s="4"/>
    </row>
    <row r="32" spans="1:3" ht="14.25">
      <c r="A32" s="2" t="s">
        <v>38</v>
      </c>
      <c r="B32" s="4">
        <v>3000</v>
      </c>
      <c r="C32" s="4"/>
    </row>
    <row r="33" spans="1:3" ht="14.25">
      <c r="A33" s="2" t="s">
        <v>3</v>
      </c>
      <c r="B33" s="4"/>
      <c r="C33" s="4">
        <v>3000</v>
      </c>
    </row>
    <row r="34" spans="1:3" ht="25.5">
      <c r="A34" s="25">
        <v>43191</v>
      </c>
      <c r="B34" s="19"/>
      <c r="C34" s="19"/>
    </row>
    <row r="35" spans="1:3" ht="14.25">
      <c r="A35" s="2" t="s">
        <v>13</v>
      </c>
      <c r="B35" s="4">
        <v>20350</v>
      </c>
      <c r="C35" s="4"/>
    </row>
    <row r="36" spans="1:3" ht="14.25">
      <c r="A36" s="2" t="s">
        <v>39</v>
      </c>
      <c r="B36" s="4"/>
      <c r="C36" s="4">
        <v>20350</v>
      </c>
    </row>
  </sheetData>
  <sheetProtection/>
  <mergeCells count="3">
    <mergeCell ref="A1:C1"/>
    <mergeCell ref="A2:C2"/>
    <mergeCell ref="A3:C3"/>
  </mergeCells>
  <printOptions/>
  <pageMargins left="0.26" right="0.17" top="0.7480314960629921" bottom="0.7480314960629921" header="0.31496062992125984" footer="0.31496062992125984"/>
  <pageSetup cellComments="asDisplayed" fitToHeight="1" fitToWidth="1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5"/>
  <cols>
    <col min="1" max="1" width="34.28125" style="0" customWidth="1"/>
    <col min="2" max="2" width="12.421875" style="0" customWidth="1"/>
    <col min="3" max="3" width="12.28125" style="0" customWidth="1"/>
  </cols>
  <sheetData>
    <row r="1" spans="1:11" ht="15">
      <c r="A1" s="351" t="s">
        <v>21</v>
      </c>
      <c r="B1" s="351"/>
      <c r="C1" s="351"/>
      <c r="D1" s="351"/>
      <c r="E1" s="351"/>
      <c r="F1" s="351"/>
      <c r="G1" s="1"/>
      <c r="H1" s="1"/>
      <c r="I1" s="1"/>
      <c r="J1" s="1"/>
      <c r="K1" s="1"/>
    </row>
    <row r="2" spans="1:11" ht="15">
      <c r="A2" s="352" t="s">
        <v>258</v>
      </c>
      <c r="B2" s="352"/>
      <c r="C2" s="352"/>
      <c r="D2" s="352"/>
      <c r="E2" s="352"/>
      <c r="F2" s="352"/>
      <c r="G2" s="1"/>
      <c r="H2" s="1"/>
      <c r="I2" s="1"/>
      <c r="J2" s="1"/>
      <c r="K2" s="1"/>
    </row>
    <row r="3" spans="1:11" ht="15.75">
      <c r="A3" s="2"/>
      <c r="B3" s="373" t="s">
        <v>40</v>
      </c>
      <c r="C3" s="374"/>
      <c r="D3" s="371">
        <v>43101</v>
      </c>
      <c r="E3" s="372"/>
      <c r="F3" s="371">
        <v>43160</v>
      </c>
      <c r="G3" s="372"/>
      <c r="H3" s="371">
        <v>43191</v>
      </c>
      <c r="I3" s="372"/>
      <c r="J3" s="373" t="s">
        <v>42</v>
      </c>
      <c r="K3" s="374"/>
    </row>
    <row r="4" spans="1:11" ht="14.25">
      <c r="A4" s="2"/>
      <c r="B4" s="3" t="s">
        <v>0</v>
      </c>
      <c r="C4" s="3" t="s">
        <v>1</v>
      </c>
      <c r="D4" s="3" t="s">
        <v>0</v>
      </c>
      <c r="E4" s="3" t="s">
        <v>1</v>
      </c>
      <c r="F4" s="3" t="s">
        <v>0</v>
      </c>
      <c r="G4" s="3" t="s">
        <v>1</v>
      </c>
      <c r="H4" s="3" t="s">
        <v>0</v>
      </c>
      <c r="I4" s="3" t="s">
        <v>1</v>
      </c>
      <c r="J4" s="3" t="s">
        <v>0</v>
      </c>
      <c r="K4" s="3" t="s">
        <v>1</v>
      </c>
    </row>
    <row r="5" spans="1:11" ht="14.25">
      <c r="A5" s="2" t="s">
        <v>2</v>
      </c>
      <c r="B5" s="2">
        <v>1000</v>
      </c>
      <c r="C5" s="2"/>
      <c r="D5" s="2">
        <v>10000</v>
      </c>
      <c r="E5" s="2"/>
      <c r="F5" s="2"/>
      <c r="G5" s="2">
        <v>5000</v>
      </c>
      <c r="H5" s="2"/>
      <c r="I5" s="2"/>
      <c r="J5" s="2">
        <f>IF((+B5-C5+D5-E5+F5-G5+H5-I5)&gt;0,(+B5-C5+D5-E5+F5-G5+H5-I5),0)</f>
        <v>6000</v>
      </c>
      <c r="K5" s="2">
        <f>IF((+B5-C5+D5-E5+F5-G5+H5-I5)&lt;0,-(+B5-C5+D5-E5+F5-G5+H5-I5),0)</f>
        <v>0</v>
      </c>
    </row>
    <row r="6" spans="1:11" ht="14.25">
      <c r="A6" s="2" t="s">
        <v>3</v>
      </c>
      <c r="B6" s="2">
        <v>3500</v>
      </c>
      <c r="C6" s="2"/>
      <c r="D6" s="2"/>
      <c r="E6" s="2"/>
      <c r="F6" s="2"/>
      <c r="G6" s="2">
        <v>3000</v>
      </c>
      <c r="H6" s="2"/>
      <c r="I6" s="2"/>
      <c r="J6" s="2">
        <f aca="true" t="shared" si="0" ref="J6:J29">IF((+B6-C6+D6-E6+F6-G6+H6-I6)&gt;0,(+B6-C6+D6-E6+F6-G6+H6-I6),0)</f>
        <v>500</v>
      </c>
      <c r="K6" s="2">
        <f aca="true" t="shared" si="1" ref="K6:K29">IF((+B6-C6+D6-E6+F6-G6+H6-I6)&lt;0,-(+B6-C6+D6-E6+F6-G6+H6-I6),0)</f>
        <v>0</v>
      </c>
    </row>
    <row r="7" spans="1:11" ht="14.25">
      <c r="A7" s="2" t="s">
        <v>4</v>
      </c>
      <c r="B7" s="2">
        <v>22000</v>
      </c>
      <c r="C7" s="2"/>
      <c r="D7" s="2">
        <v>5000</v>
      </c>
      <c r="E7" s="2"/>
      <c r="F7" s="2"/>
      <c r="G7" s="2"/>
      <c r="H7" s="2"/>
      <c r="I7" s="2"/>
      <c r="J7" s="2">
        <f t="shared" si="0"/>
        <v>27000</v>
      </c>
      <c r="K7" s="2">
        <f t="shared" si="1"/>
        <v>0</v>
      </c>
    </row>
    <row r="8" spans="1:11" ht="14.25">
      <c r="A8" s="2" t="s">
        <v>36</v>
      </c>
      <c r="B8" s="2"/>
      <c r="C8" s="2">
        <v>2000</v>
      </c>
      <c r="D8" s="2"/>
      <c r="E8" s="2">
        <v>1000</v>
      </c>
      <c r="F8" s="2"/>
      <c r="G8" s="2"/>
      <c r="H8" s="2"/>
      <c r="I8" s="2"/>
      <c r="J8" s="2">
        <f t="shared" si="0"/>
        <v>0</v>
      </c>
      <c r="K8" s="2">
        <f t="shared" si="1"/>
        <v>3000</v>
      </c>
    </row>
    <row r="9" spans="1:11" ht="14.25">
      <c r="A9" s="2" t="s">
        <v>5</v>
      </c>
      <c r="B9" s="4">
        <v>65000</v>
      </c>
      <c r="C9" s="4"/>
      <c r="D9" s="2"/>
      <c r="E9" s="2">
        <v>10000</v>
      </c>
      <c r="F9" s="2">
        <v>3000</v>
      </c>
      <c r="G9" s="2"/>
      <c r="H9" s="2"/>
      <c r="I9" s="2"/>
      <c r="J9" s="2">
        <f t="shared" si="0"/>
        <v>58000</v>
      </c>
      <c r="K9" s="2">
        <f t="shared" si="1"/>
        <v>0</v>
      </c>
    </row>
    <row r="10" spans="1:11" ht="14.25">
      <c r="A10" s="2" t="s">
        <v>8</v>
      </c>
      <c r="B10" s="4">
        <v>422500</v>
      </c>
      <c r="C10" s="4"/>
      <c r="D10" s="2"/>
      <c r="E10" s="2"/>
      <c r="F10" s="2"/>
      <c r="G10" s="2"/>
      <c r="H10" s="2"/>
      <c r="I10" s="2"/>
      <c r="J10" s="2">
        <f t="shared" si="0"/>
        <v>422500</v>
      </c>
      <c r="K10" s="2">
        <f t="shared" si="1"/>
        <v>0</v>
      </c>
    </row>
    <row r="11" spans="1:11" ht="15">
      <c r="A11" s="2" t="s">
        <v>9</v>
      </c>
      <c r="B11" s="4"/>
      <c r="C11" s="4">
        <v>126750</v>
      </c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126750</v>
      </c>
    </row>
    <row r="12" spans="1:11" ht="15">
      <c r="A12" s="2" t="s">
        <v>6</v>
      </c>
      <c r="B12" s="4">
        <v>558000</v>
      </c>
      <c r="C12" s="4"/>
      <c r="D12" s="2"/>
      <c r="E12" s="2"/>
      <c r="F12" s="2"/>
      <c r="G12" s="2"/>
      <c r="H12" s="2"/>
      <c r="I12" s="2"/>
      <c r="J12" s="2">
        <f t="shared" si="0"/>
        <v>558000</v>
      </c>
      <c r="K12" s="2">
        <f t="shared" si="1"/>
        <v>0</v>
      </c>
    </row>
    <row r="13" spans="1:11" ht="15">
      <c r="A13" s="2" t="s">
        <v>7</v>
      </c>
      <c r="B13" s="4"/>
      <c r="C13" s="4">
        <v>558000</v>
      </c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558000</v>
      </c>
    </row>
    <row r="14" spans="1:11" ht="15">
      <c r="A14" s="2" t="s">
        <v>10</v>
      </c>
      <c r="B14" s="4"/>
      <c r="C14" s="4">
        <v>38000</v>
      </c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38000</v>
      </c>
    </row>
    <row r="15" spans="1:11" ht="15">
      <c r="A15" s="2" t="s">
        <v>37</v>
      </c>
      <c r="B15" s="4">
        <v>3000</v>
      </c>
      <c r="C15" s="4"/>
      <c r="D15" s="2"/>
      <c r="E15" s="2"/>
      <c r="F15" s="2"/>
      <c r="G15" s="2"/>
      <c r="H15" s="2"/>
      <c r="I15" s="2"/>
      <c r="J15" s="2">
        <f t="shared" si="0"/>
        <v>3000</v>
      </c>
      <c r="K15" s="2">
        <f t="shared" si="1"/>
        <v>0</v>
      </c>
    </row>
    <row r="16" spans="1:11" ht="15">
      <c r="A16" s="2" t="s">
        <v>39</v>
      </c>
      <c r="B16" s="4"/>
      <c r="C16" s="4"/>
      <c r="D16" s="2"/>
      <c r="E16" s="2"/>
      <c r="F16" s="2"/>
      <c r="G16" s="2"/>
      <c r="H16" s="2"/>
      <c r="I16" s="2">
        <v>20350</v>
      </c>
      <c r="J16" s="2">
        <f t="shared" si="0"/>
        <v>0</v>
      </c>
      <c r="K16" s="2">
        <f t="shared" si="1"/>
        <v>20350</v>
      </c>
    </row>
    <row r="17" spans="1:11" ht="15">
      <c r="A17" s="2" t="s">
        <v>11</v>
      </c>
      <c r="B17" s="4"/>
      <c r="C17" s="4">
        <v>5000</v>
      </c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5000</v>
      </c>
    </row>
    <row r="18" spans="1:11" ht="15">
      <c r="A18" s="2" t="s">
        <v>12</v>
      </c>
      <c r="B18" s="4"/>
      <c r="C18" s="4">
        <v>1000</v>
      </c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1000</v>
      </c>
    </row>
    <row r="19" spans="1:11" ht="14.25">
      <c r="A19" s="5" t="s">
        <v>22</v>
      </c>
      <c r="B19" s="4"/>
      <c r="C19" s="4">
        <f>120750+9000</f>
        <v>129750</v>
      </c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129750</v>
      </c>
    </row>
    <row r="20" spans="1:11" ht="14.25">
      <c r="A20" s="2" t="s">
        <v>13</v>
      </c>
      <c r="B20" s="4"/>
      <c r="C20" s="4">
        <v>214500</v>
      </c>
      <c r="D20" s="2"/>
      <c r="E20" s="2"/>
      <c r="F20" s="2"/>
      <c r="G20" s="2"/>
      <c r="H20" s="2">
        <v>20350</v>
      </c>
      <c r="I20" s="2"/>
      <c r="J20" s="2">
        <f t="shared" si="0"/>
        <v>0</v>
      </c>
      <c r="K20" s="2">
        <f t="shared" si="1"/>
        <v>194150</v>
      </c>
    </row>
    <row r="21" spans="1:11" ht="14.25">
      <c r="A21" s="2"/>
      <c r="B21" s="4"/>
      <c r="C21" s="4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1" ht="14.25">
      <c r="A22" s="2" t="s">
        <v>14</v>
      </c>
      <c r="B22" s="4"/>
      <c r="C22" s="4"/>
      <c r="D22" s="2"/>
      <c r="E22" s="2">
        <v>14000</v>
      </c>
      <c r="F22" s="2"/>
      <c r="G22" s="2"/>
      <c r="H22" s="2"/>
      <c r="I22" s="2"/>
      <c r="J22" s="2">
        <f t="shared" si="0"/>
        <v>0</v>
      </c>
      <c r="K22" s="2">
        <f t="shared" si="1"/>
        <v>14000</v>
      </c>
    </row>
    <row r="23" spans="1:11" ht="14.25">
      <c r="A23" s="2" t="s">
        <v>15</v>
      </c>
      <c r="B23" s="4"/>
      <c r="C23" s="4"/>
      <c r="D23" s="2">
        <v>10000</v>
      </c>
      <c r="E23" s="2"/>
      <c r="F23" s="2"/>
      <c r="G23" s="2"/>
      <c r="H23" s="2"/>
      <c r="I23" s="2"/>
      <c r="J23" s="2">
        <f t="shared" si="0"/>
        <v>10000</v>
      </c>
      <c r="K23" s="2">
        <f t="shared" si="1"/>
        <v>0</v>
      </c>
    </row>
    <row r="24" spans="1:11" ht="14.25">
      <c r="A24" s="2" t="s">
        <v>17</v>
      </c>
      <c r="B24" s="4"/>
      <c r="C24" s="4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ht="14.25">
      <c r="A25" s="2" t="s">
        <v>16</v>
      </c>
      <c r="B25" s="4"/>
      <c r="C25" s="4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1" ht="14.25">
      <c r="A26" s="2" t="s">
        <v>18</v>
      </c>
      <c r="B26" s="4"/>
      <c r="C26" s="4"/>
      <c r="D26" s="2"/>
      <c r="E26" s="2"/>
      <c r="F26" s="2">
        <v>5000</v>
      </c>
      <c r="G26" s="2"/>
      <c r="H26" s="2"/>
      <c r="I26" s="2"/>
      <c r="J26" s="2">
        <f t="shared" si="0"/>
        <v>5000</v>
      </c>
      <c r="K26" s="2">
        <f t="shared" si="1"/>
        <v>0</v>
      </c>
    </row>
    <row r="27" spans="1:11" ht="14.25">
      <c r="A27" s="2" t="s">
        <v>19</v>
      </c>
      <c r="B27" s="4"/>
      <c r="C27" s="4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ht="14.25">
      <c r="A28" s="2" t="s">
        <v>173</v>
      </c>
      <c r="B28" s="4"/>
      <c r="C28" s="4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ht="14.25">
      <c r="A30" s="2" t="s">
        <v>20</v>
      </c>
      <c r="B30" s="2">
        <f>SUM(B5:B29)</f>
        <v>1075000</v>
      </c>
      <c r="C30" s="2">
        <f>SUM(C5:C29)</f>
        <v>1075000</v>
      </c>
      <c r="D30" s="2">
        <f aca="true" t="shared" si="2" ref="D30:I30">SUM(D5:D29)</f>
        <v>25000</v>
      </c>
      <c r="E30" s="2">
        <f t="shared" si="2"/>
        <v>25000</v>
      </c>
      <c r="F30" s="2">
        <f t="shared" si="2"/>
        <v>8000</v>
      </c>
      <c r="G30" s="2">
        <f t="shared" si="2"/>
        <v>8000</v>
      </c>
      <c r="H30" s="2">
        <f t="shared" si="2"/>
        <v>20350</v>
      </c>
      <c r="I30" s="2">
        <f t="shared" si="2"/>
        <v>20350</v>
      </c>
      <c r="J30" s="2">
        <f>SUM(J5:J29)</f>
        <v>1090000</v>
      </c>
      <c r="K30" s="2">
        <f>SUM(K5:K29)</f>
        <v>1090000</v>
      </c>
    </row>
  </sheetData>
  <sheetProtection/>
  <mergeCells count="7">
    <mergeCell ref="H3:I3"/>
    <mergeCell ref="J3:K3"/>
    <mergeCell ref="A1:F1"/>
    <mergeCell ref="A2:F2"/>
    <mergeCell ref="B3:C3"/>
    <mergeCell ref="D3:E3"/>
    <mergeCell ref="F3:G3"/>
  </mergeCells>
  <printOptions/>
  <pageMargins left="0.38" right="0.32" top="0.7480314960629921" bottom="0.7480314960629921" header="0.31496062992125984" footer="0.31496062992125984"/>
  <pageSetup cellComments="asDisplayed" fitToHeight="1" fitToWidth="1" orientation="landscape" paperSize="9" scale="9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9.28125" style="224" customWidth="1"/>
    <col min="2" max="2" width="12.8515625" style="224" customWidth="1"/>
    <col min="3" max="3" width="16.8515625" style="224" customWidth="1"/>
    <col min="4" max="4" width="11.57421875" style="224" customWidth="1"/>
    <col min="5" max="5" width="20.8515625" style="224" customWidth="1"/>
    <col min="6" max="6" width="16.7109375" style="224" customWidth="1"/>
    <col min="7" max="16384" width="11.57421875" style="224" customWidth="1"/>
  </cols>
  <sheetData>
    <row r="1" spans="1:5" ht="18.75">
      <c r="A1" s="377" t="s">
        <v>242</v>
      </c>
      <c r="B1" s="377"/>
      <c r="C1" s="377"/>
      <c r="D1" s="377"/>
      <c r="E1" s="377"/>
    </row>
    <row r="2" ht="15"/>
    <row r="3" ht="15">
      <c r="A3" s="224" t="s">
        <v>239</v>
      </c>
    </row>
    <row r="4" spans="1:3" ht="15">
      <c r="A4" s="224" t="s">
        <v>52</v>
      </c>
      <c r="C4" s="225">
        <v>385250</v>
      </c>
    </row>
    <row r="5" spans="1:3" ht="15">
      <c r="A5" s="224" t="s">
        <v>50</v>
      </c>
      <c r="C5" s="225">
        <v>35000</v>
      </c>
    </row>
    <row r="6" spans="1:3" ht="18.75">
      <c r="A6" s="226" t="s">
        <v>51</v>
      </c>
      <c r="B6" s="226"/>
      <c r="C6" s="227">
        <f>+C4-C5</f>
        <v>350250</v>
      </c>
    </row>
    <row r="7" ht="15"/>
    <row r="8" ht="15"/>
    <row r="9" ht="15"/>
    <row r="10" ht="15"/>
    <row r="11" spans="1:6" ht="29.25" customHeight="1">
      <c r="A11" s="224" t="s">
        <v>43</v>
      </c>
      <c r="B11" s="228" t="s">
        <v>44</v>
      </c>
      <c r="C11" s="228" t="s">
        <v>46</v>
      </c>
      <c r="D11" s="228" t="s">
        <v>45</v>
      </c>
      <c r="E11" s="228" t="s">
        <v>54</v>
      </c>
      <c r="F11" s="228" t="s">
        <v>47</v>
      </c>
    </row>
    <row r="12" spans="1:6" ht="15">
      <c r="A12" s="224" t="s">
        <v>11</v>
      </c>
      <c r="B12" s="229">
        <v>40909</v>
      </c>
      <c r="C12" s="225">
        <v>5000</v>
      </c>
      <c r="D12" s="230">
        <f>124.7946/38.4385</f>
        <v>3.2466043159852753</v>
      </c>
      <c r="E12" s="225">
        <f>+C12*D12</f>
        <v>16233.021579926377</v>
      </c>
      <c r="F12" s="225">
        <f>+E12-C12</f>
        <v>11233.021579926377</v>
      </c>
    </row>
    <row r="13" spans="1:6" ht="15">
      <c r="A13" s="224" t="s">
        <v>48</v>
      </c>
      <c r="B13" s="229">
        <v>43070</v>
      </c>
      <c r="C13" s="225">
        <v>129750</v>
      </c>
      <c r="D13" s="225"/>
      <c r="E13" s="225">
        <f>+C13*D13</f>
        <v>0</v>
      </c>
      <c r="F13" s="225">
        <f>+E13-C13</f>
        <v>-129750</v>
      </c>
    </row>
    <row r="14" spans="1:6" ht="15">
      <c r="A14" s="224" t="s">
        <v>49</v>
      </c>
      <c r="B14" s="224" t="s">
        <v>53</v>
      </c>
      <c r="C14" s="225">
        <v>1000</v>
      </c>
      <c r="D14" s="225">
        <v>1</v>
      </c>
      <c r="E14" s="225">
        <f>+C14*D14</f>
        <v>1000</v>
      </c>
      <c r="F14" s="225">
        <f>+E14-C14</f>
        <v>0</v>
      </c>
    </row>
    <row r="15" spans="1:6" ht="19.5" thickBot="1">
      <c r="A15" s="226" t="s">
        <v>243</v>
      </c>
      <c r="C15" s="241"/>
      <c r="D15" s="241"/>
      <c r="E15" s="240">
        <f>SUM(E12:E14)</f>
        <v>17233.021579926375</v>
      </c>
      <c r="F15" s="240">
        <f>SUM(F12:F14)</f>
        <v>-118516.97842007362</v>
      </c>
    </row>
    <row r="16" ht="15.75" thickTop="1"/>
    <row r="17" ht="15"/>
    <row r="18" spans="1:5" ht="18.75">
      <c r="A18" s="375" t="s">
        <v>51</v>
      </c>
      <c r="B18" s="375"/>
      <c r="C18" s="375"/>
      <c r="E18" s="227">
        <f>+C6</f>
        <v>350250</v>
      </c>
    </row>
    <row r="19" spans="1:5" ht="18.75">
      <c r="A19" s="375" t="s">
        <v>55</v>
      </c>
      <c r="B19" s="375"/>
      <c r="C19" s="375"/>
      <c r="E19" s="239">
        <f>+E15</f>
        <v>17233.021579926375</v>
      </c>
    </row>
    <row r="20" spans="1:5" ht="19.5" thickBot="1">
      <c r="A20" s="375" t="s">
        <v>57</v>
      </c>
      <c r="B20" s="375"/>
      <c r="C20" s="375"/>
      <c r="E20" s="240">
        <f>+E18-E19</f>
        <v>333016.97842007363</v>
      </c>
    </row>
    <row r="21" ht="15.75" thickTop="1"/>
    <row r="22" spans="1:5" ht="21">
      <c r="A22" s="376" t="s">
        <v>59</v>
      </c>
      <c r="B22" s="376"/>
      <c r="C22" s="376"/>
      <c r="D22" s="376"/>
      <c r="E22" s="376"/>
    </row>
    <row r="23" spans="1:6" ht="15">
      <c r="A23" s="231" t="s">
        <v>265</v>
      </c>
      <c r="B23" s="232">
        <v>129750</v>
      </c>
      <c r="C23" s="232"/>
      <c r="F23" s="225"/>
    </row>
    <row r="24" spans="1:3" ht="15">
      <c r="A24" s="231" t="s">
        <v>58</v>
      </c>
      <c r="B24" s="232"/>
      <c r="C24" s="232">
        <f>+F12</f>
        <v>11233.021579926377</v>
      </c>
    </row>
    <row r="25" spans="1:3" ht="15">
      <c r="A25" s="231" t="s">
        <v>56</v>
      </c>
      <c r="B25" s="232"/>
      <c r="C25" s="232">
        <f>-F15</f>
        <v>118516.97842007362</v>
      </c>
    </row>
    <row r="26" ht="14.25">
      <c r="G26" s="224">
        <f>5000+11233.02+1000+203266.98</f>
        <v>220500</v>
      </c>
    </row>
    <row r="27" ht="14.25">
      <c r="C27" s="225"/>
    </row>
  </sheetData>
  <sheetProtection/>
  <mergeCells count="5">
    <mergeCell ref="A18:C18"/>
    <mergeCell ref="A19:C19"/>
    <mergeCell ref="A20:C20"/>
    <mergeCell ref="A22:E22"/>
    <mergeCell ref="A1:E1"/>
  </mergeCells>
  <printOptions/>
  <pageMargins left="0.27" right="0.27" top="0.46" bottom="0.7480314960629921" header="0.31496062992125984" footer="0.31496062992125984"/>
  <pageSetup cellComments="asDisplayed" fitToHeight="1" fitToWidth="1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5" sqref="A5"/>
    </sheetView>
  </sheetViews>
  <sheetFormatPr defaultColWidth="13.28125" defaultRowHeight="15"/>
  <cols>
    <col min="1" max="1" width="5.28125" style="29" customWidth="1"/>
    <col min="2" max="2" width="17.00390625" style="29" bestFit="1" customWidth="1"/>
    <col min="3" max="3" width="16.8515625" style="29" customWidth="1"/>
    <col min="4" max="4" width="13.28125" style="29" customWidth="1"/>
    <col min="5" max="5" width="15.57421875" style="29" customWidth="1"/>
    <col min="6" max="6" width="12.57421875" style="29" customWidth="1"/>
    <col min="7" max="7" width="17.28125" style="29" customWidth="1"/>
    <col min="8" max="8" width="20.00390625" style="29" customWidth="1"/>
    <col min="9" max="16384" width="13.28125" style="29" customWidth="1"/>
  </cols>
  <sheetData>
    <row r="1" spans="1:8" s="26" customFormat="1" ht="15.75">
      <c r="A1" s="389" t="s">
        <v>63</v>
      </c>
      <c r="B1" s="389"/>
      <c r="C1" s="389"/>
      <c r="D1" s="389"/>
      <c r="E1" s="389"/>
      <c r="F1" s="389"/>
      <c r="G1" s="389"/>
      <c r="H1" s="389"/>
    </row>
    <row r="2" spans="1:8" s="26" customFormat="1" ht="15.75">
      <c r="A2" s="390" t="s">
        <v>64</v>
      </c>
      <c r="B2" s="390"/>
      <c r="C2" s="390"/>
      <c r="D2" s="390"/>
      <c r="E2" s="390"/>
      <c r="F2" s="390"/>
      <c r="G2" s="390"/>
      <c r="H2" s="390"/>
    </row>
    <row r="3" spans="1:8" s="26" customFormat="1" ht="20.25" thickBot="1">
      <c r="A3" s="387" t="s">
        <v>208</v>
      </c>
      <c r="B3" s="388"/>
      <c r="C3" s="388"/>
      <c r="D3" s="388"/>
      <c r="E3" s="388"/>
      <c r="F3" s="388"/>
      <c r="G3" s="388"/>
      <c r="H3" s="388"/>
    </row>
    <row r="4" spans="1:8" s="26" customFormat="1" ht="16.5" thickBot="1">
      <c r="A4" s="27"/>
      <c r="B4" s="391" t="s">
        <v>65</v>
      </c>
      <c r="C4" s="391"/>
      <c r="D4" s="392"/>
      <c r="E4" s="242">
        <v>43465</v>
      </c>
      <c r="F4" s="27"/>
      <c r="G4" s="27"/>
      <c r="H4" s="27"/>
    </row>
    <row r="5" spans="1:8" ht="13.5" thickBot="1">
      <c r="A5" s="28"/>
      <c r="B5" s="28"/>
      <c r="C5" s="28"/>
      <c r="D5" s="28"/>
      <c r="E5" s="28"/>
      <c r="F5" s="28"/>
      <c r="G5" s="28"/>
      <c r="H5" s="28"/>
    </row>
    <row r="6" spans="1:8" ht="13.5" thickBot="1">
      <c r="A6" s="30" t="s">
        <v>66</v>
      </c>
      <c r="B6" s="247" t="s">
        <v>67</v>
      </c>
      <c r="C6" s="31" t="s">
        <v>68</v>
      </c>
      <c r="D6" s="32" t="s">
        <v>69</v>
      </c>
      <c r="E6" s="32" t="s">
        <v>70</v>
      </c>
      <c r="F6" s="247" t="s">
        <v>71</v>
      </c>
      <c r="G6" s="32" t="s">
        <v>67</v>
      </c>
      <c r="H6" s="32" t="s">
        <v>72</v>
      </c>
    </row>
    <row r="7" spans="1:8" ht="13.5" thickBot="1">
      <c r="A7" s="33" t="s">
        <v>73</v>
      </c>
      <c r="B7" s="243" t="s">
        <v>74</v>
      </c>
      <c r="C7" s="244" t="s">
        <v>75</v>
      </c>
      <c r="D7" s="34" t="s">
        <v>76</v>
      </c>
      <c r="E7" s="34" t="s">
        <v>77</v>
      </c>
      <c r="F7" s="243" t="s">
        <v>78</v>
      </c>
      <c r="G7" s="34" t="s">
        <v>79</v>
      </c>
      <c r="H7" s="34" t="s">
        <v>80</v>
      </c>
    </row>
    <row r="8" spans="1:9" ht="15.75" thickBot="1">
      <c r="A8" s="35">
        <v>1</v>
      </c>
      <c r="B8" s="245">
        <v>22000</v>
      </c>
      <c r="C8" s="242">
        <v>43480</v>
      </c>
      <c r="D8" s="168">
        <f>IF((C8-$E$4&gt;0),C8-$E$4,0)</f>
        <v>15</v>
      </c>
      <c r="E8" s="36">
        <f>B8</f>
        <v>22000</v>
      </c>
      <c r="F8" s="248">
        <v>1</v>
      </c>
      <c r="G8" s="36">
        <f>IF(B8&gt;0,(ROUND(((E8/(1+F8/100)^(D8/30))),2)),0)</f>
        <v>21890.82</v>
      </c>
      <c r="H8" s="36">
        <f aca="true" t="shared" si="0" ref="H8:H17">(E8-G8)</f>
        <v>109.18000000000029</v>
      </c>
      <c r="I8" s="37"/>
    </row>
    <row r="9" spans="1:8" ht="13.5" thickBot="1">
      <c r="A9" s="35">
        <v>2</v>
      </c>
      <c r="B9" s="245">
        <v>5000</v>
      </c>
      <c r="C9" s="242">
        <v>43482</v>
      </c>
      <c r="D9" s="168">
        <f aca="true" t="shared" si="1" ref="D9:D17">IF((C9-$E$4&gt;0),C9-$E$4,0)</f>
        <v>17</v>
      </c>
      <c r="E9" s="38">
        <f aca="true" t="shared" si="2" ref="E9:E17">B9</f>
        <v>5000</v>
      </c>
      <c r="F9" s="248">
        <v>1.88</v>
      </c>
      <c r="G9" s="38">
        <f aca="true" t="shared" si="3" ref="G9:G17">IF(B9&gt;0,(ROUND(((E9/(1+F9/100)^(D9/30))),2)),0)</f>
        <v>4947.51</v>
      </c>
      <c r="H9" s="38">
        <f t="shared" si="0"/>
        <v>52.48999999999978</v>
      </c>
    </row>
    <row r="10" spans="1:8" ht="13.5" thickBot="1">
      <c r="A10" s="35">
        <v>3</v>
      </c>
      <c r="B10" s="245">
        <v>0</v>
      </c>
      <c r="C10" s="242"/>
      <c r="D10" s="168">
        <f t="shared" si="1"/>
        <v>0</v>
      </c>
      <c r="E10" s="38">
        <f t="shared" si="2"/>
        <v>0</v>
      </c>
      <c r="F10" s="248"/>
      <c r="G10" s="38">
        <f t="shared" si="3"/>
        <v>0</v>
      </c>
      <c r="H10" s="38">
        <f t="shared" si="0"/>
        <v>0</v>
      </c>
    </row>
    <row r="11" spans="1:8" ht="13.5" thickBot="1">
      <c r="A11" s="35">
        <v>4</v>
      </c>
      <c r="B11" s="245">
        <v>0</v>
      </c>
      <c r="C11" s="242"/>
      <c r="D11" s="168">
        <f t="shared" si="1"/>
        <v>0</v>
      </c>
      <c r="E11" s="38">
        <f t="shared" si="2"/>
        <v>0</v>
      </c>
      <c r="F11" s="248"/>
      <c r="G11" s="38">
        <f t="shared" si="3"/>
        <v>0</v>
      </c>
      <c r="H11" s="38">
        <f t="shared" si="0"/>
        <v>0</v>
      </c>
    </row>
    <row r="12" spans="1:8" ht="13.5" thickBot="1">
      <c r="A12" s="35">
        <v>5</v>
      </c>
      <c r="B12" s="245">
        <v>0</v>
      </c>
      <c r="C12" s="242"/>
      <c r="D12" s="168">
        <f t="shared" si="1"/>
        <v>0</v>
      </c>
      <c r="E12" s="38">
        <f t="shared" si="2"/>
        <v>0</v>
      </c>
      <c r="F12" s="248"/>
      <c r="G12" s="38">
        <f t="shared" si="3"/>
        <v>0</v>
      </c>
      <c r="H12" s="38">
        <f t="shared" si="0"/>
        <v>0</v>
      </c>
    </row>
    <row r="13" spans="1:8" ht="13.5" thickBot="1">
      <c r="A13" s="35">
        <v>6</v>
      </c>
      <c r="B13" s="245">
        <v>0</v>
      </c>
      <c r="C13" s="242"/>
      <c r="D13" s="168">
        <f t="shared" si="1"/>
        <v>0</v>
      </c>
      <c r="E13" s="38">
        <f t="shared" si="2"/>
        <v>0</v>
      </c>
      <c r="F13" s="248"/>
      <c r="G13" s="38">
        <f t="shared" si="3"/>
        <v>0</v>
      </c>
      <c r="H13" s="38">
        <f t="shared" si="0"/>
        <v>0</v>
      </c>
    </row>
    <row r="14" spans="1:8" ht="13.5" thickBot="1">
      <c r="A14" s="35">
        <v>7</v>
      </c>
      <c r="B14" s="245">
        <v>0</v>
      </c>
      <c r="C14" s="246"/>
      <c r="D14" s="168">
        <f t="shared" si="1"/>
        <v>0</v>
      </c>
      <c r="E14" s="38">
        <f t="shared" si="2"/>
        <v>0</v>
      </c>
      <c r="F14" s="248"/>
      <c r="G14" s="38">
        <f t="shared" si="3"/>
        <v>0</v>
      </c>
      <c r="H14" s="38">
        <f t="shared" si="0"/>
        <v>0</v>
      </c>
    </row>
    <row r="15" spans="1:8" ht="13.5" thickBot="1">
      <c r="A15" s="35">
        <v>8</v>
      </c>
      <c r="B15" s="245">
        <v>0</v>
      </c>
      <c r="C15" s="242"/>
      <c r="D15" s="168">
        <f t="shared" si="1"/>
        <v>0</v>
      </c>
      <c r="E15" s="38">
        <f t="shared" si="2"/>
        <v>0</v>
      </c>
      <c r="F15" s="248"/>
      <c r="G15" s="38">
        <f t="shared" si="3"/>
        <v>0</v>
      </c>
      <c r="H15" s="38">
        <f t="shared" si="0"/>
        <v>0</v>
      </c>
    </row>
    <row r="16" spans="1:8" ht="13.5" thickBot="1">
      <c r="A16" s="35">
        <v>9</v>
      </c>
      <c r="B16" s="245">
        <v>0</v>
      </c>
      <c r="C16" s="246"/>
      <c r="D16" s="168">
        <f t="shared" si="1"/>
        <v>0</v>
      </c>
      <c r="E16" s="38">
        <f t="shared" si="2"/>
        <v>0</v>
      </c>
      <c r="F16" s="248"/>
      <c r="G16" s="38">
        <f t="shared" si="3"/>
        <v>0</v>
      </c>
      <c r="H16" s="38">
        <f t="shared" si="0"/>
        <v>0</v>
      </c>
    </row>
    <row r="17" spans="1:8" ht="13.5" thickBot="1">
      <c r="A17" s="35">
        <v>10</v>
      </c>
      <c r="B17" s="245">
        <v>0</v>
      </c>
      <c r="C17" s="242"/>
      <c r="D17" s="168">
        <f t="shared" si="1"/>
        <v>0</v>
      </c>
      <c r="E17" s="38">
        <f t="shared" si="2"/>
        <v>0</v>
      </c>
      <c r="F17" s="248"/>
      <c r="G17" s="38">
        <f t="shared" si="3"/>
        <v>0</v>
      </c>
      <c r="H17" s="38">
        <f t="shared" si="0"/>
        <v>0</v>
      </c>
    </row>
    <row r="18" spans="1:8" ht="16.5" thickBot="1">
      <c r="A18" s="39" t="s">
        <v>81</v>
      </c>
      <c r="B18" s="249">
        <f>SUM(B8:B17)</f>
        <v>27000</v>
      </c>
      <c r="C18" s="40"/>
      <c r="E18" s="249">
        <f>SUM(E8:E17)</f>
        <v>27000</v>
      </c>
      <c r="F18" s="41"/>
      <c r="G18" s="169">
        <f>SUM(G8:G17)</f>
        <v>26838.33</v>
      </c>
      <c r="H18" s="249">
        <f>SUM(H8:H17)</f>
        <v>161.67000000000007</v>
      </c>
    </row>
    <row r="19" spans="1:8" ht="12.75">
      <c r="A19" s="393"/>
      <c r="B19" s="393"/>
      <c r="C19" s="393"/>
      <c r="D19" s="393"/>
      <c r="E19" s="393"/>
      <c r="F19" s="393"/>
      <c r="G19" s="393"/>
      <c r="H19" s="393"/>
    </row>
    <row r="20" spans="3:10" ht="12.75">
      <c r="C20" s="42"/>
      <c r="E20" s="43"/>
      <c r="F20" s="43"/>
      <c r="G20" s="44"/>
      <c r="I20" s="45"/>
      <c r="J20" s="46"/>
    </row>
    <row r="21" spans="1:10" ht="12.75">
      <c r="A21" s="384" t="s">
        <v>174</v>
      </c>
      <c r="B21" s="385"/>
      <c r="C21" s="385"/>
      <c r="D21" s="386"/>
      <c r="E21" s="47">
        <f>+G18</f>
        <v>26838.33</v>
      </c>
      <c r="H21" s="325"/>
      <c r="I21" s="325"/>
      <c r="J21" s="48"/>
    </row>
    <row r="22" spans="1:10" ht="12.75">
      <c r="A22" s="381" t="s">
        <v>175</v>
      </c>
      <c r="B22" s="382"/>
      <c r="C22" s="382"/>
      <c r="D22" s="383"/>
      <c r="E22" s="47">
        <v>24000</v>
      </c>
      <c r="H22" s="325"/>
      <c r="I22" s="325"/>
      <c r="J22" s="48"/>
    </row>
    <row r="23" spans="1:10" ht="16.5" thickBot="1">
      <c r="A23" s="49" t="s">
        <v>82</v>
      </c>
      <c r="B23" s="50"/>
      <c r="C23" s="50"/>
      <c r="D23" s="51"/>
      <c r="E23" s="52">
        <f>+E21-E22</f>
        <v>2838.3300000000017</v>
      </c>
      <c r="H23" s="325"/>
      <c r="I23" s="325"/>
      <c r="J23" s="53"/>
    </row>
    <row r="24" spans="1:5" ht="12.75">
      <c r="A24" s="54"/>
      <c r="B24" s="55"/>
      <c r="C24" s="55"/>
      <c r="D24" s="55"/>
      <c r="E24" s="56"/>
    </row>
    <row r="25" spans="1:5" ht="13.5" thickBot="1">
      <c r="A25" s="57"/>
      <c r="B25" s="58"/>
      <c r="C25" s="58"/>
      <c r="D25" s="58"/>
      <c r="E25" s="59"/>
    </row>
    <row r="26" spans="1:5" ht="12.75">
      <c r="A26" s="394" t="str">
        <f>IF(E23&lt;=0,"RFT","INT-S/ACTIVOS A DEVENGAR")</f>
        <v>INT-S/ACTIVOS A DEVENGAR</v>
      </c>
      <c r="B26" s="395"/>
      <c r="C26" s="396"/>
      <c r="D26" s="63">
        <f>ABS(E23)</f>
        <v>2838.3300000000017</v>
      </c>
      <c r="E26" s="64"/>
    </row>
    <row r="27" spans="1:5" ht="14.25" customHeight="1">
      <c r="A27" s="378" t="str">
        <f>IF(E23&gt;0,"RFT","INT-S/ACTIVOS A DEVENGAR")</f>
        <v>RFT</v>
      </c>
      <c r="B27" s="379"/>
      <c r="C27" s="380"/>
      <c r="D27" s="65"/>
      <c r="E27" s="66">
        <f>ABS(E23)</f>
        <v>2838.3300000000017</v>
      </c>
    </row>
  </sheetData>
  <sheetProtection/>
  <mergeCells count="9">
    <mergeCell ref="A27:C27"/>
    <mergeCell ref="A22:D22"/>
    <mergeCell ref="A21:D21"/>
    <mergeCell ref="A3:H3"/>
    <mergeCell ref="A1:H1"/>
    <mergeCell ref="A2:H2"/>
    <mergeCell ref="B4:D4"/>
    <mergeCell ref="A19:H19"/>
    <mergeCell ref="A26:C26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H1"/>
    </sheetView>
  </sheetViews>
  <sheetFormatPr defaultColWidth="13.28125" defaultRowHeight="15"/>
  <cols>
    <col min="1" max="1" width="5.28125" style="29" customWidth="1"/>
    <col min="2" max="2" width="22.140625" style="29" customWidth="1"/>
    <col min="3" max="3" width="16.8515625" style="29" customWidth="1"/>
    <col min="4" max="4" width="13.28125" style="29" customWidth="1"/>
    <col min="5" max="5" width="15.57421875" style="29" customWidth="1"/>
    <col min="6" max="6" width="11.7109375" style="29" customWidth="1"/>
    <col min="7" max="7" width="17.28125" style="29" customWidth="1"/>
    <col min="8" max="8" width="22.140625" style="29" customWidth="1"/>
    <col min="9" max="16384" width="13.28125" style="29" customWidth="1"/>
  </cols>
  <sheetData>
    <row r="1" spans="1:8" s="26" customFormat="1" ht="15.75">
      <c r="A1" s="389" t="s">
        <v>63</v>
      </c>
      <c r="B1" s="389"/>
      <c r="C1" s="389"/>
      <c r="D1" s="389"/>
      <c r="E1" s="389"/>
      <c r="F1" s="389"/>
      <c r="G1" s="389"/>
      <c r="H1" s="389"/>
    </row>
    <row r="2" spans="1:8" s="26" customFormat="1" ht="15.75">
      <c r="A2" s="401" t="s">
        <v>131</v>
      </c>
      <c r="B2" s="401"/>
      <c r="C2" s="401"/>
      <c r="D2" s="401"/>
      <c r="E2" s="401"/>
      <c r="F2" s="254"/>
      <c r="G2" s="254"/>
      <c r="H2" s="254"/>
    </row>
    <row r="3" spans="1:8" s="26" customFormat="1" ht="19.5">
      <c r="A3" s="402" t="s">
        <v>209</v>
      </c>
      <c r="B3" s="403"/>
      <c r="C3" s="403"/>
      <c r="D3" s="403"/>
      <c r="E3" s="404"/>
      <c r="F3" s="27"/>
      <c r="G3" s="27"/>
      <c r="H3" s="27"/>
    </row>
    <row r="4" spans="1:8" s="26" customFormat="1" ht="13.5" thickBot="1">
      <c r="A4" s="27"/>
      <c r="B4" s="27"/>
      <c r="D4" s="139"/>
      <c r="E4" s="251">
        <v>43465</v>
      </c>
      <c r="F4" s="27"/>
      <c r="G4" s="27"/>
      <c r="H4" s="27"/>
    </row>
    <row r="5" spans="1:8" ht="13.5" thickBot="1">
      <c r="A5" s="28"/>
      <c r="B5" s="28"/>
      <c r="C5" s="28"/>
      <c r="D5" s="28"/>
      <c r="E5" s="28"/>
      <c r="F5" s="28"/>
      <c r="G5" s="28"/>
      <c r="H5" s="28"/>
    </row>
    <row r="6" spans="1:8" ht="13.5" thickBot="1">
      <c r="A6" s="30" t="s">
        <v>66</v>
      </c>
      <c r="B6" s="247" t="s">
        <v>67</v>
      </c>
      <c r="C6" s="250" t="s">
        <v>68</v>
      </c>
      <c r="D6" s="32" t="s">
        <v>69</v>
      </c>
      <c r="E6" s="32" t="s">
        <v>70</v>
      </c>
      <c r="F6" s="247" t="s">
        <v>71</v>
      </c>
      <c r="G6" s="32" t="s">
        <v>67</v>
      </c>
      <c r="H6" s="32" t="s">
        <v>72</v>
      </c>
    </row>
    <row r="7" spans="1:8" ht="13.5" thickBot="1">
      <c r="A7" s="33" t="s">
        <v>73</v>
      </c>
      <c r="B7" s="243" t="s">
        <v>74</v>
      </c>
      <c r="C7" s="244" t="s">
        <v>75</v>
      </c>
      <c r="D7" s="34" t="s">
        <v>76</v>
      </c>
      <c r="E7" s="34" t="s">
        <v>77</v>
      </c>
      <c r="F7" s="243" t="s">
        <v>78</v>
      </c>
      <c r="G7" s="34" t="s">
        <v>79</v>
      </c>
      <c r="H7" s="34" t="s">
        <v>80</v>
      </c>
    </row>
    <row r="8" spans="1:10" ht="15.75" thickBot="1">
      <c r="A8" s="35">
        <v>1</v>
      </c>
      <c r="B8" s="245">
        <v>38000</v>
      </c>
      <c r="C8" s="242">
        <v>43487</v>
      </c>
      <c r="D8" s="35">
        <f>IF((C8-$E$4&gt;0),C8-$E$4,0)</f>
        <v>22</v>
      </c>
      <c r="E8" s="38">
        <f>B8</f>
        <v>38000</v>
      </c>
      <c r="F8" s="253">
        <v>2</v>
      </c>
      <c r="G8" s="38">
        <f>IF(B8&gt;0,(ROUND(((E8/(1+F8/100)^(D8/30))),2)),0)</f>
        <v>37452.15</v>
      </c>
      <c r="H8" s="38">
        <f>(E8-G8)</f>
        <v>547.8499999999985</v>
      </c>
      <c r="I8" s="37"/>
      <c r="J8" s="140"/>
    </row>
    <row r="9" spans="1:9" ht="15.75" thickBot="1">
      <c r="A9" s="35">
        <v>2</v>
      </c>
      <c r="B9" s="245"/>
      <c r="C9" s="242"/>
      <c r="D9" s="35">
        <f>IF((C9-$E$4&gt;0),C9-$E$4,0)</f>
        <v>0</v>
      </c>
      <c r="E9" s="38">
        <f aca="true" t="shared" si="0" ref="E9:E17">B9</f>
        <v>0</v>
      </c>
      <c r="F9" s="248"/>
      <c r="G9" s="38">
        <f>IF(B9&gt;0,(ROUND(((E9/(1+F9/100)^(D9/30))),2)),0)</f>
        <v>0</v>
      </c>
      <c r="H9" s="38">
        <f>(E9-G9)</f>
        <v>0</v>
      </c>
      <c r="I9" s="37"/>
    </row>
    <row r="10" spans="1:9" ht="15.75" thickBot="1">
      <c r="A10" s="35">
        <v>3</v>
      </c>
      <c r="B10" s="245"/>
      <c r="C10" s="242"/>
      <c r="D10" s="35">
        <f>IF((C10-$E$4&gt;0),C10-$E$4,0)</f>
        <v>0</v>
      </c>
      <c r="E10" s="38">
        <f t="shared" si="0"/>
        <v>0</v>
      </c>
      <c r="F10" s="252"/>
      <c r="G10" s="38">
        <f>IF(B10&gt;0,(ROUND(((E10/(1+F10/100)^(D10/30))),2)),0)</f>
        <v>0</v>
      </c>
      <c r="H10" s="38">
        <f>(E10-G10)</f>
        <v>0</v>
      </c>
      <c r="I10" s="37"/>
    </row>
    <row r="11" spans="1:8" ht="13.5" thickBot="1">
      <c r="A11" s="35">
        <v>4</v>
      </c>
      <c r="B11" s="245"/>
      <c r="C11" s="242"/>
      <c r="D11" s="35">
        <f aca="true" t="shared" si="1" ref="D11:D17">IF((C11-$E$4&gt;0),C11-$E$4,0)</f>
        <v>0</v>
      </c>
      <c r="E11" s="38">
        <f t="shared" si="0"/>
        <v>0</v>
      </c>
      <c r="F11" s="248"/>
      <c r="G11" s="38">
        <f aca="true" t="shared" si="2" ref="G11:G17">IF(B11&gt;0,(ROUND(((E11/(1+F11/100)^(D11/30))),2)),0)</f>
        <v>0</v>
      </c>
      <c r="H11" s="38">
        <f aca="true" t="shared" si="3" ref="H11:H17">(E11-G11)</f>
        <v>0</v>
      </c>
    </row>
    <row r="12" spans="1:8" ht="13.5" thickBot="1">
      <c r="A12" s="35">
        <v>5</v>
      </c>
      <c r="B12" s="245"/>
      <c r="C12" s="242"/>
      <c r="D12" s="35">
        <f t="shared" si="1"/>
        <v>0</v>
      </c>
      <c r="E12" s="38">
        <f t="shared" si="0"/>
        <v>0</v>
      </c>
      <c r="F12" s="248"/>
      <c r="G12" s="38">
        <f t="shared" si="2"/>
        <v>0</v>
      </c>
      <c r="H12" s="38">
        <f t="shared" si="3"/>
        <v>0</v>
      </c>
    </row>
    <row r="13" spans="1:8" ht="13.5" thickBot="1">
      <c r="A13" s="35">
        <v>6</v>
      </c>
      <c r="B13" s="245"/>
      <c r="C13" s="242"/>
      <c r="D13" s="35">
        <f t="shared" si="1"/>
        <v>0</v>
      </c>
      <c r="E13" s="38">
        <f t="shared" si="0"/>
        <v>0</v>
      </c>
      <c r="F13" s="248"/>
      <c r="G13" s="38">
        <f t="shared" si="2"/>
        <v>0</v>
      </c>
      <c r="H13" s="38">
        <f t="shared" si="3"/>
        <v>0</v>
      </c>
    </row>
    <row r="14" spans="1:8" ht="13.5" thickBot="1">
      <c r="A14" s="35">
        <v>7</v>
      </c>
      <c r="B14" s="245"/>
      <c r="C14" s="246"/>
      <c r="D14" s="35">
        <f t="shared" si="1"/>
        <v>0</v>
      </c>
      <c r="E14" s="38">
        <f t="shared" si="0"/>
        <v>0</v>
      </c>
      <c r="F14" s="248"/>
      <c r="G14" s="38">
        <f t="shared" si="2"/>
        <v>0</v>
      </c>
      <c r="H14" s="38">
        <f t="shared" si="3"/>
        <v>0</v>
      </c>
    </row>
    <row r="15" spans="1:8" ht="13.5" thickBot="1">
      <c r="A15" s="35">
        <v>8</v>
      </c>
      <c r="B15" s="245"/>
      <c r="C15" s="242"/>
      <c r="D15" s="35">
        <f t="shared" si="1"/>
        <v>0</v>
      </c>
      <c r="E15" s="38">
        <f t="shared" si="0"/>
        <v>0</v>
      </c>
      <c r="F15" s="248"/>
      <c r="G15" s="38">
        <f t="shared" si="2"/>
        <v>0</v>
      </c>
      <c r="H15" s="38">
        <f t="shared" si="3"/>
        <v>0</v>
      </c>
    </row>
    <row r="16" spans="1:8" ht="13.5" thickBot="1">
      <c r="A16" s="35">
        <v>9</v>
      </c>
      <c r="B16" s="245"/>
      <c r="C16" s="246"/>
      <c r="D16" s="35">
        <f t="shared" si="1"/>
        <v>0</v>
      </c>
      <c r="E16" s="38">
        <f t="shared" si="0"/>
        <v>0</v>
      </c>
      <c r="F16" s="248"/>
      <c r="G16" s="38">
        <f t="shared" si="2"/>
        <v>0</v>
      </c>
      <c r="H16" s="38">
        <f t="shared" si="3"/>
        <v>0</v>
      </c>
    </row>
    <row r="17" spans="1:8" ht="13.5" thickBot="1">
      <c r="A17" s="35">
        <v>10</v>
      </c>
      <c r="B17" s="245"/>
      <c r="C17" s="242"/>
      <c r="D17" s="35">
        <f t="shared" si="1"/>
        <v>0</v>
      </c>
      <c r="E17" s="38">
        <f t="shared" si="0"/>
        <v>0</v>
      </c>
      <c r="F17" s="248"/>
      <c r="G17" s="38">
        <f t="shared" si="2"/>
        <v>0</v>
      </c>
      <c r="H17" s="38">
        <f t="shared" si="3"/>
        <v>0</v>
      </c>
    </row>
    <row r="18" spans="1:8" ht="13.5" thickBot="1">
      <c r="A18" s="39" t="s">
        <v>81</v>
      </c>
      <c r="B18" s="249">
        <f>SUM(B8:B17)</f>
        <v>38000</v>
      </c>
      <c r="C18" s="40"/>
      <c r="E18" s="249">
        <f>SUM(E8:E17)</f>
        <v>38000</v>
      </c>
      <c r="F18" s="41"/>
      <c r="G18" s="249">
        <f>SUM(G8:G17)</f>
        <v>37452.15</v>
      </c>
      <c r="H18" s="249">
        <f>SUM(H8:H17)</f>
        <v>547.8499999999985</v>
      </c>
    </row>
    <row r="19" spans="2:8" ht="12.75">
      <c r="B19" s="141"/>
      <c r="C19" s="28"/>
      <c r="E19" s="43"/>
      <c r="F19" s="141"/>
      <c r="G19" s="43"/>
      <c r="H19" s="43"/>
    </row>
    <row r="20" spans="3:10" ht="13.5" thickBot="1">
      <c r="C20" s="42"/>
      <c r="E20" s="43"/>
      <c r="F20" s="43"/>
      <c r="G20" s="44"/>
      <c r="I20" s="142"/>
      <c r="J20" s="142"/>
    </row>
    <row r="21" spans="1:10" ht="12.75">
      <c r="A21" s="405" t="s">
        <v>241</v>
      </c>
      <c r="B21" s="406"/>
      <c r="C21" s="406"/>
      <c r="D21" s="407"/>
      <c r="E21" s="143">
        <f>+G18</f>
        <v>37452.15</v>
      </c>
      <c r="H21" s="325"/>
      <c r="I21" s="325"/>
      <c r="J21" s="53"/>
    </row>
    <row r="22" spans="1:5" ht="12.75">
      <c r="A22" s="408" t="s">
        <v>210</v>
      </c>
      <c r="B22" s="382"/>
      <c r="C22" s="382"/>
      <c r="D22" s="383"/>
      <c r="E22" s="144">
        <v>35000</v>
      </c>
    </row>
    <row r="23" spans="1:5" ht="16.5" thickBot="1">
      <c r="A23" s="145" t="s">
        <v>82</v>
      </c>
      <c r="B23" s="146"/>
      <c r="C23" s="146"/>
      <c r="D23" s="147"/>
      <c r="E23" s="148">
        <f>+E21-E22</f>
        <v>2452.1500000000015</v>
      </c>
    </row>
    <row r="24" spans="1:5" ht="13.5" thickBot="1">
      <c r="A24" s="60"/>
      <c r="B24" s="61"/>
      <c r="C24" s="62"/>
      <c r="D24" s="64"/>
      <c r="E24" s="64"/>
    </row>
    <row r="25" spans="1:5" ht="14.25" customHeight="1">
      <c r="A25" s="397" t="str">
        <f>IF(E23&gt;=0,"RFT","INT-S/PASIVOS A DEVENGAR")</f>
        <v>RFT</v>
      </c>
      <c r="B25" s="398"/>
      <c r="C25" s="398"/>
      <c r="D25" s="149">
        <f>ABS(E23)</f>
        <v>2452.1500000000015</v>
      </c>
      <c r="E25" s="150"/>
    </row>
    <row r="26" spans="1:5" ht="15" customHeight="1" thickBot="1">
      <c r="A26" s="399" t="str">
        <f>IF(E23&lt;0,"RFT","INT-S/PASIVOS A DEVENGAR")</f>
        <v>INT-S/PASIVOS A DEVENGAR</v>
      </c>
      <c r="B26" s="400"/>
      <c r="C26" s="400"/>
      <c r="D26" s="151"/>
      <c r="E26" s="152">
        <f>ABS(E23)</f>
        <v>2452.1500000000015</v>
      </c>
    </row>
    <row r="27" ht="12.75" customHeight="1"/>
  </sheetData>
  <sheetProtection/>
  <mergeCells count="7">
    <mergeCell ref="A25:C25"/>
    <mergeCell ref="A26:C26"/>
    <mergeCell ref="A1:H1"/>
    <mergeCell ref="A2:E2"/>
    <mergeCell ref="A3:E3"/>
    <mergeCell ref="A21:D21"/>
    <mergeCell ref="A22:D22"/>
  </mergeCells>
  <printOptions/>
  <pageMargins left="0.25" right="0.21" top="0.7480314960629921" bottom="0.7480314960629921" header="0.31496062992125984" footer="0.31496062992125984"/>
  <pageSetup cellComments="asDisplayed" fitToHeight="1" fitToWidth="1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60" zoomScaleNormal="60" zoomScalePageLayoutView="0" workbookViewId="0" topLeftCell="A1">
      <selection activeCell="A1" sqref="A1"/>
    </sheetView>
  </sheetViews>
  <sheetFormatPr defaultColWidth="17.00390625" defaultRowHeight="15"/>
  <cols>
    <col min="1" max="1" width="14.00390625" style="89" customWidth="1"/>
    <col min="2" max="2" width="10.57421875" style="89" customWidth="1"/>
    <col min="3" max="3" width="17.57421875" style="89" customWidth="1"/>
    <col min="4" max="4" width="9.421875" style="68" customWidth="1"/>
    <col min="5" max="5" width="15.421875" style="68" customWidth="1"/>
    <col min="6" max="7" width="17.00390625" style="68" customWidth="1"/>
    <col min="8" max="8" width="21.57421875" style="68" customWidth="1"/>
    <col min="9" max="9" width="28.00390625" style="68" customWidth="1"/>
    <col min="10" max="10" width="17.00390625" style="68" customWidth="1"/>
    <col min="11" max="11" width="20.8515625" style="68" customWidth="1"/>
    <col min="12" max="16384" width="17.00390625" style="68" customWidth="1"/>
  </cols>
  <sheetData>
    <row r="1" spans="1:3" ht="18">
      <c r="A1" s="67" t="s">
        <v>253</v>
      </c>
      <c r="B1" s="67"/>
      <c r="C1" s="67"/>
    </row>
    <row r="2" spans="1:3" ht="18">
      <c r="A2" s="67" t="s">
        <v>83</v>
      </c>
      <c r="B2" s="67"/>
      <c r="C2" s="67"/>
    </row>
    <row r="3" spans="1:3" ht="18">
      <c r="A3" s="67"/>
      <c r="B3" s="67"/>
      <c r="C3" s="67"/>
    </row>
    <row r="4" spans="1:3" ht="18">
      <c r="A4" s="67"/>
      <c r="B4" s="67"/>
      <c r="C4" s="67"/>
    </row>
    <row r="5" spans="1:3" ht="18.75" thickBot="1">
      <c r="A5" s="67"/>
      <c r="B5" s="67"/>
      <c r="C5" s="67"/>
    </row>
    <row r="6" spans="1:10" s="69" customFormat="1" ht="18.75" thickBot="1">
      <c r="A6" s="255"/>
      <c r="B6" s="421" t="s">
        <v>45</v>
      </c>
      <c r="C6" s="422"/>
      <c r="D6" s="423"/>
      <c r="E6" s="430" t="s">
        <v>84</v>
      </c>
      <c r="F6" s="432"/>
      <c r="G6" s="432"/>
      <c r="H6" s="431"/>
      <c r="I6" s="410" t="s">
        <v>85</v>
      </c>
      <c r="J6" s="411"/>
    </row>
    <row r="7" spans="1:10" s="69" customFormat="1" ht="18.75" thickBot="1">
      <c r="A7" s="256"/>
      <c r="B7" s="424"/>
      <c r="C7" s="425"/>
      <c r="D7" s="426"/>
      <c r="E7" s="430" t="s">
        <v>74</v>
      </c>
      <c r="F7" s="431"/>
      <c r="G7" s="433" t="s">
        <v>87</v>
      </c>
      <c r="H7" s="434"/>
      <c r="I7" s="172"/>
      <c r="J7" s="173"/>
    </row>
    <row r="8" spans="1:10" s="69" customFormat="1" ht="18.75" thickBot="1">
      <c r="A8" s="257" t="s">
        <v>86</v>
      </c>
      <c r="B8" s="427"/>
      <c r="C8" s="428"/>
      <c r="D8" s="429"/>
      <c r="E8" s="268" t="s">
        <v>199</v>
      </c>
      <c r="F8" s="268" t="s">
        <v>200</v>
      </c>
      <c r="G8" s="182" t="s">
        <v>199</v>
      </c>
      <c r="H8" s="182" t="s">
        <v>200</v>
      </c>
      <c r="I8" s="182" t="s">
        <v>203</v>
      </c>
      <c r="J8" s="70" t="s">
        <v>87</v>
      </c>
    </row>
    <row r="9" spans="1:10" s="69" customFormat="1" ht="18">
      <c r="A9" s="275" t="s">
        <v>96</v>
      </c>
      <c r="B9" s="276" t="s">
        <v>176</v>
      </c>
      <c r="C9" s="277" t="s">
        <v>186</v>
      </c>
      <c r="D9" s="343">
        <v>1.4765</v>
      </c>
      <c r="E9" s="269">
        <v>65000</v>
      </c>
      <c r="F9" s="270">
        <v>0</v>
      </c>
      <c r="G9" s="336">
        <f>ROUND(($D9*E9),2)</f>
        <v>95972.5</v>
      </c>
      <c r="H9" s="279">
        <f>ROUND(($D9*F9),2)</f>
        <v>0</v>
      </c>
      <c r="I9" s="269">
        <v>0</v>
      </c>
      <c r="J9" s="280">
        <f aca="true" t="shared" si="0" ref="J9:J21">ROUND(($D9*I9),2)</f>
        <v>0</v>
      </c>
    </row>
    <row r="10" spans="1:10" ht="18">
      <c r="A10" s="258">
        <v>1</v>
      </c>
      <c r="B10" s="261" t="s">
        <v>177</v>
      </c>
      <c r="C10" s="259" t="s">
        <v>187</v>
      </c>
      <c r="D10" s="260">
        <f>+184.2552/126.9887</f>
        <v>1.4509574473949258</v>
      </c>
      <c r="E10" s="271">
        <v>0</v>
      </c>
      <c r="F10" s="272">
        <v>10000</v>
      </c>
      <c r="G10" s="278">
        <f aca="true" t="shared" si="1" ref="G10:G21">ROUND(($D10*E10),2)</f>
        <v>0</v>
      </c>
      <c r="H10" s="279">
        <f aca="true" t="shared" si="2" ref="H10:H21">ROUND(($D10*F10),2)</f>
        <v>14509.57</v>
      </c>
      <c r="I10" s="271">
        <v>10000</v>
      </c>
      <c r="J10" s="280">
        <f t="shared" si="0"/>
        <v>14509.57</v>
      </c>
    </row>
    <row r="11" spans="1:10" ht="18">
      <c r="A11" s="258">
        <v>2</v>
      </c>
      <c r="B11" s="261" t="s">
        <v>178</v>
      </c>
      <c r="C11" s="259" t="s">
        <v>188</v>
      </c>
      <c r="D11" s="260">
        <f>184.2552/130.0606</f>
        <v>1.4166872980748975</v>
      </c>
      <c r="E11" s="271">
        <v>0</v>
      </c>
      <c r="F11" s="272">
        <v>0</v>
      </c>
      <c r="G11" s="278">
        <f t="shared" si="1"/>
        <v>0</v>
      </c>
      <c r="H11" s="279">
        <f t="shared" si="2"/>
        <v>0</v>
      </c>
      <c r="I11" s="271">
        <v>0</v>
      </c>
      <c r="J11" s="280">
        <f t="shared" si="0"/>
        <v>0</v>
      </c>
    </row>
    <row r="12" spans="1:10" ht="18">
      <c r="A12" s="258">
        <v>3</v>
      </c>
      <c r="B12" s="261" t="s">
        <v>179</v>
      </c>
      <c r="C12" s="259" t="s">
        <v>189</v>
      </c>
      <c r="D12" s="260">
        <f>184.2552/133.1054</f>
        <v>1.3842804273906242</v>
      </c>
      <c r="E12" s="271">
        <v>3000</v>
      </c>
      <c r="F12" s="272">
        <v>0</v>
      </c>
      <c r="G12" s="278">
        <f t="shared" si="1"/>
        <v>4152.84</v>
      </c>
      <c r="H12" s="279">
        <f t="shared" si="2"/>
        <v>0</v>
      </c>
      <c r="I12" s="271">
        <v>0</v>
      </c>
      <c r="J12" s="280">
        <f t="shared" si="0"/>
        <v>0</v>
      </c>
    </row>
    <row r="13" spans="1:10" ht="18">
      <c r="A13" s="258">
        <v>4</v>
      </c>
      <c r="B13" s="261" t="s">
        <v>180</v>
      </c>
      <c r="C13" s="259" t="s">
        <v>190</v>
      </c>
      <c r="D13" s="260">
        <f>184.2552/136.7512</f>
        <v>1.3473753795213497</v>
      </c>
      <c r="E13" s="271">
        <v>0</v>
      </c>
      <c r="F13" s="272">
        <v>0</v>
      </c>
      <c r="G13" s="278">
        <f t="shared" si="1"/>
        <v>0</v>
      </c>
      <c r="H13" s="279">
        <f t="shared" si="2"/>
        <v>0</v>
      </c>
      <c r="I13" s="271">
        <v>0</v>
      </c>
      <c r="J13" s="280">
        <f t="shared" si="0"/>
        <v>0</v>
      </c>
    </row>
    <row r="14" spans="1:10" ht="18">
      <c r="A14" s="258">
        <v>5</v>
      </c>
      <c r="B14" s="261" t="s">
        <v>179</v>
      </c>
      <c r="C14" s="259" t="s">
        <v>191</v>
      </c>
      <c r="D14" s="260">
        <f>184.2552/139.5893</f>
        <v>1.3199808294761848</v>
      </c>
      <c r="E14" s="271">
        <v>0</v>
      </c>
      <c r="F14" s="272">
        <v>0</v>
      </c>
      <c r="G14" s="278">
        <f t="shared" si="1"/>
        <v>0</v>
      </c>
      <c r="H14" s="279">
        <f t="shared" si="2"/>
        <v>0</v>
      </c>
      <c r="I14" s="271">
        <v>0</v>
      </c>
      <c r="J14" s="280">
        <f t="shared" si="0"/>
        <v>0</v>
      </c>
    </row>
    <row r="15" spans="1:10" ht="18">
      <c r="A15" s="258">
        <v>6</v>
      </c>
      <c r="B15" s="261" t="s">
        <v>181</v>
      </c>
      <c r="C15" s="259" t="s">
        <v>192</v>
      </c>
      <c r="D15" s="260">
        <f>184.2552/144.8053</f>
        <v>1.272434089083756</v>
      </c>
      <c r="E15" s="271">
        <v>0</v>
      </c>
      <c r="F15" s="272">
        <v>0</v>
      </c>
      <c r="G15" s="278">
        <f t="shared" si="1"/>
        <v>0</v>
      </c>
      <c r="H15" s="279">
        <f t="shared" si="2"/>
        <v>0</v>
      </c>
      <c r="I15" s="271">
        <v>0</v>
      </c>
      <c r="J15" s="280">
        <f t="shared" si="0"/>
        <v>0</v>
      </c>
    </row>
    <row r="16" spans="1:10" ht="18">
      <c r="A16" s="258">
        <v>7</v>
      </c>
      <c r="B16" s="261" t="s">
        <v>181</v>
      </c>
      <c r="C16" s="259" t="s">
        <v>193</v>
      </c>
      <c r="D16" s="260">
        <f>184.2552/149.2966</f>
        <v>1.2341553658958073</v>
      </c>
      <c r="E16" s="271">
        <v>0</v>
      </c>
      <c r="F16" s="272">
        <v>0</v>
      </c>
      <c r="G16" s="278">
        <f t="shared" si="1"/>
        <v>0</v>
      </c>
      <c r="H16" s="279">
        <f t="shared" si="2"/>
        <v>0</v>
      </c>
      <c r="I16" s="271">
        <v>0</v>
      </c>
      <c r="J16" s="280">
        <f t="shared" si="0"/>
        <v>0</v>
      </c>
    </row>
    <row r="17" spans="1:10" ht="18">
      <c r="A17" s="258">
        <v>8</v>
      </c>
      <c r="B17" s="261" t="s">
        <v>180</v>
      </c>
      <c r="C17" s="259" t="s">
        <v>194</v>
      </c>
      <c r="D17" s="260">
        <f>184.2552/155.1034</f>
        <v>1.1879507476947637</v>
      </c>
      <c r="E17" s="271">
        <v>0</v>
      </c>
      <c r="F17" s="272">
        <v>0</v>
      </c>
      <c r="G17" s="278">
        <f t="shared" si="1"/>
        <v>0</v>
      </c>
      <c r="H17" s="279">
        <f t="shared" si="2"/>
        <v>0</v>
      </c>
      <c r="I17" s="271">
        <v>0</v>
      </c>
      <c r="J17" s="280">
        <f t="shared" si="0"/>
        <v>0</v>
      </c>
    </row>
    <row r="18" spans="1:10" ht="18">
      <c r="A18" s="258">
        <v>9</v>
      </c>
      <c r="B18" s="261" t="s">
        <v>182</v>
      </c>
      <c r="C18" s="259" t="s">
        <v>195</v>
      </c>
      <c r="D18" s="260">
        <f>184.2552/165.2383</f>
        <v>1.115087724819246</v>
      </c>
      <c r="E18" s="271">
        <v>0</v>
      </c>
      <c r="F18" s="272">
        <v>0</v>
      </c>
      <c r="G18" s="278">
        <f t="shared" si="1"/>
        <v>0</v>
      </c>
      <c r="H18" s="279">
        <f t="shared" si="2"/>
        <v>0</v>
      </c>
      <c r="I18" s="271">
        <v>0</v>
      </c>
      <c r="J18" s="280">
        <f t="shared" si="0"/>
        <v>0</v>
      </c>
    </row>
    <row r="19" spans="1:10" ht="18">
      <c r="A19" s="258">
        <v>10</v>
      </c>
      <c r="B19" s="261" t="s">
        <v>183</v>
      </c>
      <c r="C19" s="259" t="s">
        <v>196</v>
      </c>
      <c r="D19" s="260">
        <f>184.2552/174.1473</f>
        <v>1.0580422435489956</v>
      </c>
      <c r="E19" s="271">
        <v>0</v>
      </c>
      <c r="F19" s="272">
        <v>0</v>
      </c>
      <c r="G19" s="278">
        <f t="shared" si="1"/>
        <v>0</v>
      </c>
      <c r="H19" s="279">
        <f t="shared" si="2"/>
        <v>0</v>
      </c>
      <c r="I19" s="271">
        <v>0</v>
      </c>
      <c r="J19" s="280">
        <f t="shared" si="0"/>
        <v>0</v>
      </c>
    </row>
    <row r="20" spans="1:10" ht="18">
      <c r="A20" s="258">
        <v>11</v>
      </c>
      <c r="B20" s="261" t="s">
        <v>184</v>
      </c>
      <c r="C20" s="259" t="s">
        <v>197</v>
      </c>
      <c r="D20" s="260">
        <f>184.2552/179.6388</f>
        <v>1.025698234457144</v>
      </c>
      <c r="E20" s="271">
        <v>0</v>
      </c>
      <c r="F20" s="272">
        <v>0</v>
      </c>
      <c r="G20" s="278">
        <f t="shared" si="1"/>
        <v>0</v>
      </c>
      <c r="H20" s="279">
        <f t="shared" si="2"/>
        <v>0</v>
      </c>
      <c r="I20" s="271">
        <v>0</v>
      </c>
      <c r="J20" s="280">
        <f t="shared" si="0"/>
        <v>0</v>
      </c>
    </row>
    <row r="21" spans="1:10" ht="18.75" thickBot="1">
      <c r="A21" s="262">
        <v>12</v>
      </c>
      <c r="B21" s="263" t="s">
        <v>185</v>
      </c>
      <c r="C21" s="259" t="s">
        <v>198</v>
      </c>
      <c r="D21" s="260">
        <f>184.2552/184.2552</f>
        <v>1</v>
      </c>
      <c r="E21" s="271">
        <v>0</v>
      </c>
      <c r="F21" s="273">
        <v>0</v>
      </c>
      <c r="G21" s="278">
        <f t="shared" si="1"/>
        <v>0</v>
      </c>
      <c r="H21" s="279">
        <f t="shared" si="2"/>
        <v>0</v>
      </c>
      <c r="I21" s="271">
        <v>0</v>
      </c>
      <c r="J21" s="280">
        <f t="shared" si="0"/>
        <v>0</v>
      </c>
    </row>
    <row r="22" spans="1:12" s="69" customFormat="1" ht="18.75" thickBot="1">
      <c r="A22" s="264" t="s">
        <v>88</v>
      </c>
      <c r="B22" s="265"/>
      <c r="C22" s="265"/>
      <c r="D22" s="266"/>
      <c r="E22" s="274">
        <f aca="true" t="shared" si="3" ref="E22:J22">SUM(E9:E21)</f>
        <v>68000</v>
      </c>
      <c r="F22" s="274">
        <f t="shared" si="3"/>
        <v>10000</v>
      </c>
      <c r="G22" s="337">
        <f t="shared" si="3"/>
        <v>100125.34</v>
      </c>
      <c r="H22" s="281">
        <f t="shared" si="3"/>
        <v>14509.57</v>
      </c>
      <c r="I22" s="274">
        <f t="shared" si="3"/>
        <v>10000</v>
      </c>
      <c r="J22" s="347">
        <f t="shared" si="3"/>
        <v>14509.57</v>
      </c>
      <c r="K22" s="409" t="s">
        <v>264</v>
      </c>
      <c r="L22" s="409"/>
    </row>
    <row r="23" spans="1:12" ht="18.75" thickBot="1">
      <c r="A23" s="415" t="s">
        <v>201</v>
      </c>
      <c r="B23" s="416"/>
      <c r="C23" s="416"/>
      <c r="D23" s="417"/>
      <c r="E23" s="267">
        <f>+E22-F22</f>
        <v>58000</v>
      </c>
      <c r="F23" s="73"/>
      <c r="G23" s="338">
        <f>+G22-H22</f>
        <v>85615.76999999999</v>
      </c>
      <c r="H23" s="73"/>
      <c r="I23" s="73"/>
      <c r="J23" s="342"/>
      <c r="K23" s="83" t="s">
        <v>259</v>
      </c>
      <c r="L23" s="83">
        <v>95972.5</v>
      </c>
    </row>
    <row r="24" spans="1:12" s="76" customFormat="1" ht="18.75" thickBot="1">
      <c r="A24" s="415" t="s">
        <v>202</v>
      </c>
      <c r="B24" s="416"/>
      <c r="C24" s="416"/>
      <c r="D24" s="417"/>
      <c r="E24" s="339">
        <f>+G23-E23</f>
        <v>27615.76999999999</v>
      </c>
      <c r="F24" s="74"/>
      <c r="G24" s="74"/>
      <c r="H24" s="75"/>
      <c r="I24" s="183">
        <f>+J22-I22</f>
        <v>4509.57</v>
      </c>
      <c r="J24" s="75"/>
      <c r="K24" s="77" t="s">
        <v>260</v>
      </c>
      <c r="L24" s="77">
        <v>4152.84</v>
      </c>
    </row>
    <row r="25" spans="1:12" s="76" customFormat="1" ht="18">
      <c r="A25" s="412" t="s">
        <v>89</v>
      </c>
      <c r="B25" s="412"/>
      <c r="C25" s="412"/>
      <c r="D25" s="412"/>
      <c r="E25" s="412"/>
      <c r="F25" s="412"/>
      <c r="G25" s="176"/>
      <c r="H25" s="77">
        <v>90000</v>
      </c>
      <c r="I25" s="75"/>
      <c r="J25" s="75"/>
      <c r="K25" s="77" t="s">
        <v>261</v>
      </c>
      <c r="L25" s="77">
        <v>4384.23</v>
      </c>
    </row>
    <row r="26" spans="1:12" s="76" customFormat="1" ht="18">
      <c r="A26" s="413" t="s">
        <v>90</v>
      </c>
      <c r="B26" s="413"/>
      <c r="C26" s="413"/>
      <c r="D26" s="413"/>
      <c r="E26" s="413"/>
      <c r="F26" s="413"/>
      <c r="G26" s="177"/>
      <c r="H26" s="77">
        <f>+H22</f>
        <v>14509.57</v>
      </c>
      <c r="I26" s="75"/>
      <c r="J26" s="75"/>
      <c r="K26" s="77" t="s">
        <v>262</v>
      </c>
      <c r="L26" s="77">
        <v>-90000</v>
      </c>
    </row>
    <row r="27" spans="1:12" s="76" customFormat="1" ht="18">
      <c r="A27" s="414" t="s">
        <v>91</v>
      </c>
      <c r="B27" s="414"/>
      <c r="C27" s="414"/>
      <c r="D27" s="414"/>
      <c r="E27" s="414"/>
      <c r="F27" s="414"/>
      <c r="G27" s="178"/>
      <c r="H27" s="340">
        <f>-G9</f>
        <v>-95972.5</v>
      </c>
      <c r="I27" s="75"/>
      <c r="J27" s="75"/>
      <c r="K27" s="77" t="s">
        <v>263</v>
      </c>
      <c r="L27" s="77">
        <f>SUM(L23:L26)</f>
        <v>14509.569999999992</v>
      </c>
    </row>
    <row r="28" spans="1:8" s="76" customFormat="1" ht="18">
      <c r="A28" s="414" t="s">
        <v>92</v>
      </c>
      <c r="B28" s="414"/>
      <c r="C28" s="414"/>
      <c r="D28" s="414"/>
      <c r="E28" s="414"/>
      <c r="F28" s="414"/>
      <c r="G28" s="178"/>
      <c r="H28" s="77">
        <f>-SUM(G10:G21)</f>
        <v>-4152.84</v>
      </c>
    </row>
    <row r="29" spans="1:8" s="76" customFormat="1" ht="18">
      <c r="A29" s="414" t="s">
        <v>93</v>
      </c>
      <c r="B29" s="414"/>
      <c r="C29" s="414"/>
      <c r="D29" s="414"/>
      <c r="E29" s="414"/>
      <c r="F29" s="414"/>
      <c r="G29" s="178"/>
      <c r="H29" s="341">
        <f>SUM(H25:H28)</f>
        <v>4384.230000000007</v>
      </c>
    </row>
    <row r="30" spans="1:3" s="69" customFormat="1" ht="18.75" thickBot="1">
      <c r="A30" s="78"/>
      <c r="B30" s="78"/>
      <c r="C30" s="78"/>
    </row>
    <row r="31" spans="1:12" s="69" customFormat="1" ht="18">
      <c r="A31" s="435" t="s">
        <v>25</v>
      </c>
      <c r="B31" s="436"/>
      <c r="C31" s="436"/>
      <c r="D31" s="436"/>
      <c r="E31" s="437"/>
      <c r="F31" s="79">
        <f>+E24+H29</f>
        <v>31999.999999999996</v>
      </c>
      <c r="G31" s="179"/>
      <c r="H31" s="80"/>
      <c r="I31" s="81" t="s">
        <v>94</v>
      </c>
      <c r="J31" s="79">
        <f>+I24</f>
        <v>4509.57</v>
      </c>
      <c r="K31" s="80"/>
      <c r="L31" s="82"/>
    </row>
    <row r="32" spans="1:12" s="69" customFormat="1" ht="18.75" thickBot="1">
      <c r="A32" s="438" t="s">
        <v>169</v>
      </c>
      <c r="B32" s="439"/>
      <c r="C32" s="439"/>
      <c r="D32" s="439"/>
      <c r="E32" s="440"/>
      <c r="F32" s="83"/>
      <c r="G32" s="180">
        <f>+F31</f>
        <v>31999.999999999996</v>
      </c>
      <c r="H32" s="84"/>
      <c r="I32" s="85" t="s">
        <v>95</v>
      </c>
      <c r="J32" s="86"/>
      <c r="K32" s="87">
        <f>+J31</f>
        <v>4509.57</v>
      </c>
      <c r="L32" s="82"/>
    </row>
    <row r="33" spans="1:12" s="69" customFormat="1" ht="18.75" thickBot="1">
      <c r="A33" s="418"/>
      <c r="B33" s="419"/>
      <c r="C33" s="419"/>
      <c r="D33" s="420"/>
      <c r="E33" s="171"/>
      <c r="F33" s="88"/>
      <c r="G33" s="181"/>
      <c r="H33" s="87">
        <f>+F23</f>
        <v>0</v>
      </c>
      <c r="K33" s="68"/>
      <c r="L33" s="82"/>
    </row>
  </sheetData>
  <sheetProtection/>
  <mergeCells count="16">
    <mergeCell ref="A28:F28"/>
    <mergeCell ref="A24:D24"/>
    <mergeCell ref="A29:F29"/>
    <mergeCell ref="A33:D33"/>
    <mergeCell ref="B6:D8"/>
    <mergeCell ref="E7:F7"/>
    <mergeCell ref="E6:H6"/>
    <mergeCell ref="G7:H7"/>
    <mergeCell ref="A23:D23"/>
    <mergeCell ref="A31:E31"/>
    <mergeCell ref="A32:E32"/>
    <mergeCell ref="K22:L22"/>
    <mergeCell ref="I6:J6"/>
    <mergeCell ref="A25:F25"/>
    <mergeCell ref="A26:F26"/>
    <mergeCell ref="A27:F27"/>
  </mergeCells>
  <printOptions/>
  <pageMargins left="0.31496062992125984" right="0.31496062992125984" top="0.7480314960629921" bottom="0.7480314960629921" header="0.31496062992125984" footer="0.31496062992125984"/>
  <pageSetup cellComments="asDisplayed" fitToHeight="1" fitToWidth="1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Juan Barile</cp:lastModifiedBy>
  <cp:lastPrinted>2019-03-08T16:18:42Z</cp:lastPrinted>
  <dcterms:created xsi:type="dcterms:W3CDTF">2019-02-08T20:55:03Z</dcterms:created>
  <dcterms:modified xsi:type="dcterms:W3CDTF">2019-05-20T15:27:43Z</dcterms:modified>
  <cp:category/>
  <cp:version/>
  <cp:contentType/>
  <cp:contentStatus/>
</cp:coreProperties>
</file>